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5480" windowHeight="11580" activeTab="3"/>
  </bookViews>
  <sheets>
    <sheet name="แบบกรอกข้อมูล" sheetId="1" r:id="rId1"/>
    <sheet name="สรุปภาระงาน อาจารย์" sheetId="5" r:id="rId2"/>
    <sheet name="สรุปภาระงาน ผศ" sheetId="6" r:id="rId3"/>
    <sheet name="สรุปภาระงาน รศ" sheetId="7" r:id="rId4"/>
  </sheets>
  <calcPr calcId="124519"/>
  <fileRecoveryPr repairLoad="1"/>
</workbook>
</file>

<file path=xl/calcChain.xml><?xml version="1.0" encoding="utf-8"?>
<calcChain xmlns="http://schemas.openxmlformats.org/spreadsheetml/2006/main">
  <c r="G331" i="1"/>
  <c r="G332"/>
  <c r="G62" l="1"/>
  <c r="G63"/>
  <c r="B138"/>
  <c r="B185"/>
  <c r="B228"/>
  <c r="B276"/>
  <c r="B319"/>
  <c r="G226" l="1"/>
  <c r="G184"/>
  <c r="G183"/>
  <c r="G182"/>
  <c r="G181"/>
  <c r="G180"/>
  <c r="G174"/>
  <c r="G128"/>
  <c r="G120"/>
  <c r="G330" l="1"/>
  <c r="G333"/>
  <c r="G334"/>
  <c r="G269"/>
  <c r="G221"/>
  <c r="G115"/>
  <c r="G114"/>
  <c r="G113"/>
  <c r="G136"/>
  <c r="G150"/>
  <c r="G149"/>
  <c r="G155"/>
  <c r="G156"/>
  <c r="G164"/>
  <c r="G167"/>
  <c r="G166"/>
  <c r="G165"/>
  <c r="G163"/>
  <c r="G336" l="1"/>
  <c r="G238"/>
  <c r="G201"/>
  <c r="G193"/>
  <c r="G129"/>
  <c r="B345"/>
  <c r="B91"/>
  <c r="G40"/>
  <c r="G34"/>
  <c r="G28"/>
  <c r="G22"/>
  <c r="G16"/>
  <c r="G51"/>
  <c r="G15"/>
  <c r="G14"/>
  <c r="G17"/>
  <c r="G50"/>
  <c r="G53" s="1"/>
  <c r="B44"/>
  <c r="G260"/>
  <c r="G261"/>
  <c r="G262"/>
  <c r="G263"/>
  <c r="G264"/>
  <c r="G265"/>
  <c r="G266"/>
  <c r="G267"/>
  <c r="G268"/>
  <c r="G270"/>
  <c r="G271"/>
  <c r="G272"/>
  <c r="G273"/>
  <c r="G274"/>
  <c r="G222"/>
  <c r="G227"/>
  <c r="G237"/>
  <c r="G239"/>
  <c r="G240"/>
  <c r="G241"/>
  <c r="G242"/>
  <c r="G243"/>
  <c r="G249"/>
  <c r="G250"/>
  <c r="G251"/>
  <c r="G252"/>
  <c r="G253"/>
  <c r="G254"/>
  <c r="G255"/>
  <c r="G285"/>
  <c r="G286"/>
  <c r="G287"/>
  <c r="G289"/>
  <c r="G302"/>
  <c r="G308"/>
  <c r="G309"/>
  <c r="G317"/>
  <c r="G335"/>
  <c r="G337"/>
  <c r="G339"/>
  <c r="G20"/>
  <c r="G21"/>
  <c r="G23"/>
  <c r="G26"/>
  <c r="G27"/>
  <c r="G29"/>
  <c r="G32"/>
  <c r="G33"/>
  <c r="G35"/>
  <c r="G38"/>
  <c r="G39"/>
  <c r="G41"/>
  <c r="G54"/>
  <c r="G55"/>
  <c r="G58"/>
  <c r="G59"/>
  <c r="G71"/>
  <c r="G72"/>
  <c r="G73"/>
  <c r="G76"/>
  <c r="G77"/>
  <c r="G78"/>
  <c r="G81"/>
  <c r="G82"/>
  <c r="G83"/>
  <c r="G86"/>
  <c r="G87"/>
  <c r="G88"/>
  <c r="G99"/>
  <c r="G101" s="1"/>
  <c r="G102"/>
  <c r="G104" s="1"/>
  <c r="G105"/>
  <c r="G107" s="1"/>
  <c r="G121"/>
  <c r="G126"/>
  <c r="G127"/>
  <c r="G134"/>
  <c r="G135"/>
  <c r="G147"/>
  <c r="G148"/>
  <c r="G168"/>
  <c r="G202"/>
  <c r="G203"/>
  <c r="G204"/>
  <c r="G205"/>
  <c r="G206"/>
  <c r="G175"/>
  <c r="G194"/>
  <c r="G195"/>
  <c r="G196"/>
  <c r="G211"/>
  <c r="G212"/>
  <c r="G213"/>
  <c r="G214"/>
  <c r="F90"/>
  <c r="E90"/>
  <c r="F85"/>
  <c r="E85"/>
  <c r="F80"/>
  <c r="E80"/>
  <c r="F75"/>
  <c r="E75"/>
  <c r="E91" s="1"/>
  <c r="F91"/>
  <c r="G11" i="7"/>
  <c r="G11" i="6"/>
  <c r="G11" i="5"/>
  <c r="F19" i="1"/>
  <c r="F25"/>
  <c r="F31"/>
  <c r="F37"/>
  <c r="F43"/>
  <c r="E19"/>
  <c r="E25"/>
  <c r="E31"/>
  <c r="E37"/>
  <c r="E43"/>
  <c r="G8" i="7"/>
  <c r="G8" i="6"/>
  <c r="G8" i="5"/>
  <c r="B8" i="7"/>
  <c r="E8"/>
  <c r="B10"/>
  <c r="G10"/>
  <c r="B11"/>
  <c r="G26"/>
  <c r="B8" i="6"/>
  <c r="E8"/>
  <c r="B10"/>
  <c r="G10"/>
  <c r="B11"/>
  <c r="G27"/>
  <c r="E8" i="5"/>
  <c r="B8"/>
  <c r="B11"/>
  <c r="B10"/>
  <c r="G10"/>
  <c r="G24"/>
  <c r="G43" i="1" l="1"/>
  <c r="G19"/>
  <c r="G90"/>
  <c r="G169"/>
  <c r="H17" i="6" s="1"/>
  <c r="G108" i="1"/>
  <c r="G151"/>
  <c r="G342"/>
  <c r="G290"/>
  <c r="G116"/>
  <c r="G157"/>
  <c r="G122"/>
  <c r="G57"/>
  <c r="G85"/>
  <c r="G75"/>
  <c r="G65"/>
  <c r="G61"/>
  <c r="G310"/>
  <c r="G215"/>
  <c r="H20" i="6" s="1"/>
  <c r="G244" i="1"/>
  <c r="G275"/>
  <c r="G137"/>
  <c r="G197"/>
  <c r="H21" i="6" s="1"/>
  <c r="G207" i="1"/>
  <c r="G80"/>
  <c r="E6"/>
  <c r="G256"/>
  <c r="G185"/>
  <c r="H18" i="6" s="1"/>
  <c r="G130" i="1"/>
  <c r="G31"/>
  <c r="G37"/>
  <c r="G25"/>
  <c r="E44"/>
  <c r="H19" i="6"/>
  <c r="H19" i="7"/>
  <c r="F44" i="1"/>
  <c r="G44" l="1"/>
  <c r="G66"/>
  <c r="F6"/>
  <c r="H17" i="7"/>
  <c r="G5" i="1"/>
  <c r="G91"/>
  <c r="H20" i="7"/>
  <c r="F5" i="1"/>
  <c r="I17" i="6"/>
  <c r="H18" i="7"/>
  <c r="I17" l="1"/>
  <c r="E5" i="1"/>
  <c r="H16" i="5" s="1"/>
  <c r="H22" i="6"/>
  <c r="H21" i="7"/>
  <c r="H17" i="5"/>
  <c r="H16" i="6" l="1"/>
  <c r="I16" s="1"/>
  <c r="I22" s="1"/>
  <c r="I26" s="1"/>
  <c r="H16" i="7"/>
  <c r="I16" s="1"/>
  <c r="I21" s="1"/>
  <c r="I25" s="1"/>
  <c r="H24" i="5"/>
  <c r="E7" i="1"/>
  <c r="I16" i="5"/>
  <c r="I17" s="1"/>
  <c r="H26" i="7"/>
  <c r="H27" i="6"/>
  <c r="I24" i="5" l="1"/>
</calcChain>
</file>

<file path=xl/comments1.xml><?xml version="1.0" encoding="utf-8"?>
<comments xmlns="http://schemas.openxmlformats.org/spreadsheetml/2006/main">
  <authors>
    <author>admin2</author>
  </authors>
  <commentList>
    <comment ref="C190" authorId="0">
      <text>
        <r>
          <rPr>
            <sz val="14"/>
            <color indexed="81"/>
            <rFont val="TH SarabunPSK"/>
            <family val="2"/>
          </rPr>
          <t>บทความปริทัศน์ หมายถึง ผลงานทางวิชาการที่เรียบเรียงขึ้นและได้รับการตีพิมพ์ในวารสารวิชาการ โดยมีการสรุป วิเคราะห์ สังเคราะห์ ความรู้จากผลงานทางวิชาการอื่นๆ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7" authorId="0">
      <text>
        <r>
          <rPr>
            <b/>
            <sz val="12"/>
            <color indexed="81"/>
            <rFont val="TH SarabunPSK"/>
            <family val="2"/>
          </rPr>
          <t>การให้บริการทางวิชาการในฐานะผู้เชี่ยวชาญ หมายถึง การได้รับแต่งตั้งให้เป็นที่ปรึกษาผลงานทางวิชาการ ที่ปรึกษางานวิชาชีพ พิจารณาบทความสิ่งตีพิมพ์ในวารสาร พิจารณาผลงานทางวิชาการที่ขอกำหนดตำแหน่งทางวิชาการ การออกให้บริการพัฒนาชุมชนโดยได้รับการอนุมัติจากหน่วยงานต้นสังกัด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<sst xmlns="http://schemas.openxmlformats.org/spreadsheetml/2006/main" count="735" uniqueCount="373">
  <si>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</si>
  <si>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</si>
  <si>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</si>
  <si>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</si>
  <si>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</si>
  <si>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</si>
  <si>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</si>
  <si>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</si>
  <si>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</si>
  <si>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</si>
  <si>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</si>
  <si>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</si>
  <si>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</si>
  <si>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</si>
  <si>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1 ชม./สป/หน่วยกิต</t>
  </si>
  <si>
    <t>0.013 ชม./สป/หน่วยกิต/คน</t>
  </si>
  <si>
    <t>0.61 ชม/สป./หน่วยกิต</t>
  </si>
  <si>
    <t>รวม</t>
  </si>
  <si>
    <t>การฝึกปฏิบัติ</t>
  </si>
  <si>
    <t>ชั่วโมง</t>
  </si>
  <si>
    <t>1-15 คน</t>
  </si>
  <si>
    <t xml:space="preserve">                 สาขา</t>
  </si>
  <si>
    <t>กรอกข้อมูลในช่องสีฟ้า</t>
  </si>
  <si>
    <t>งาน /กิจกรรม</t>
  </si>
  <si>
    <t>การควบคุมดูแล</t>
  </si>
  <si>
    <t>การประเมินผล</t>
  </si>
  <si>
    <t>การเป็นผู้ประสานงาน</t>
  </si>
  <si>
    <t>ไม่เกิน 30 ชม./ภาคการศึกษา</t>
  </si>
  <si>
    <t>ไม่เกิน 15 ชม./ภาคการศึกษา</t>
  </si>
  <si>
    <t>เรื่อง</t>
  </si>
  <si>
    <t>การเป็นผู้สอนรายวิชาสัมมนา</t>
  </si>
  <si>
    <t>การเป็นอาจารย์ที่ปรึกษา เรื่องสัมมนาของนักศึกษา</t>
  </si>
  <si>
    <t>การเป็นผู้สอนรายวิชาปัญหาพิเศษ/โครงงาน</t>
  </si>
  <si>
    <t>1.5 ชม./ชม.การปฏิบัติงาน</t>
  </si>
  <si>
    <t>การเป็นกรรมการพิจารณาโครงร่างและสอบ</t>
  </si>
  <si>
    <t>รวม ภาระงาน 1.5</t>
  </si>
  <si>
    <t>9 ชม./สป./เรื่อง</t>
  </si>
  <si>
    <t>รวม ภาระงาน 2.1</t>
  </si>
  <si>
    <t>งาน/กิจกรรม</t>
  </si>
  <si>
    <t>การเรียบเรียงตำรา/หนังสือ</t>
  </si>
  <si>
    <t>เล่ม</t>
  </si>
  <si>
    <t>40 ชม./เรื่อง</t>
  </si>
  <si>
    <t>60 ชม./เรื่อง</t>
  </si>
  <si>
    <t>80 ชม./เรื่อง</t>
  </si>
  <si>
    <t>120 ชม./เรื่อง</t>
  </si>
  <si>
    <t>ตีพิมพ์ในวารสารระดับชาติ ที่อยู่ในฐานข้อมูล สกอ./สกว.</t>
  </si>
  <si>
    <t>ตีพิมพ์ในวารสารระดับนานาชาติ ไม่อยู่ในฐานข้อมูล สกอ./ISI/Pubmed/ไม่มี IF</t>
  </si>
  <si>
    <t>ตีพิมพ์ในวารสารระดับนานาชาติ อยู่ในฐานข้อมูล สกอ./ISI/Pubmed/มี IF</t>
  </si>
  <si>
    <t>รวม ภาระงาน 2.2</t>
  </si>
  <si>
    <t>รวม ภาระงาน 2.3.1</t>
  </si>
  <si>
    <t>20 ชม./เรื่อง</t>
  </si>
  <si>
    <t>ตีพิมพ์บความปริทัศน์ในวารสารระดับชาติ ที่ไม่ได้รับเชิญ</t>
  </si>
  <si>
    <t>ตีพิมพ์บความปริทัศน์ในวารสารระดับชาติ ที่ได้รับเชิญ</t>
  </si>
  <si>
    <t>ตีพิมพ์บความปริทัศน์ในวารสารระดับนานาชาติ ที่ไม่ได้รับเชิญ</t>
  </si>
  <si>
    <t>ตีพิมพ์บความปริทัศน์ในวารสารระดับนานาชาติ ที่ได้รับเชิญ</t>
  </si>
  <si>
    <t>การตีพิมพ์/วารสาร</t>
  </si>
  <si>
    <t>รวม ภาระงาน 2.3.2</t>
  </si>
  <si>
    <t>รวม ภาระงาน 2.3.3</t>
  </si>
  <si>
    <t>10 ชม./เรื่อง</t>
  </si>
  <si>
    <t>นำเสนอผลงานวิจัย ภาคโปสเตอร์ ในที่ประชุมวิชาการระดับชาติ</t>
  </si>
  <si>
    <t>นำเสนอผลงานวิจัย ภาคโปสเตอร์ ในที่ประชุมวิชาการระดับนานาชาติ</t>
  </si>
  <si>
    <t>นำเสนอผลงานวิจัย ภาคบรรยาย ในที่ประชุมวิชาการระดับชาติ</t>
  </si>
  <si>
    <t>นำเสนอผลงานวิจัย ภาคบรรยาย ในที่ประชุมวิชาการระดับนานาชาติ</t>
  </si>
  <si>
    <t>ตีพิมพ์เรื่องเต็ม เอกสารประกอบการประชุมวิชาการในประเทศ</t>
  </si>
  <si>
    <t>ตีพิมพ์เรื่องเต็ม เอกสารประกอบการประชุมวิชาการต่างประเทศ</t>
  </si>
  <si>
    <t>ประเภทของวิทยากร</t>
  </si>
  <si>
    <t>รวม ภาระงาน 3.1</t>
  </si>
  <si>
    <t>ประเภทของการปฏิบัติงาน</t>
  </si>
  <si>
    <t>ครั้ง</t>
  </si>
  <si>
    <t>รวม ภาระงาน 3.3</t>
  </si>
  <si>
    <t>รวม ภาระงาน 3.2</t>
  </si>
  <si>
    <t>บรรณาธิการ วารสารทางวิชาการระดับชาติที่ไม่ได้รับการรับรอง</t>
  </si>
  <si>
    <t>บรรณาธิการ วารสารทางวิชาการระดับชาติที่ได้รับการรับรอง</t>
  </si>
  <si>
    <t>กองบรรณาธิการ วารสารทางวิชาการระดับชาติที่ไม่ได้รับการรับรอง</t>
  </si>
  <si>
    <t>กองบรรณาธิการ วารสารทางวิชาการระดับชาติที่ได้รับการรับรอง</t>
  </si>
  <si>
    <t>บรรณาธิการ วารสารทางวิชาการระดับนานาชาติ</t>
  </si>
  <si>
    <t>กองบรรณาธิการ วารสารทางวิชาการระดับนานาชาติ</t>
  </si>
  <si>
    <t>3 ชม./สป/ฉบับ</t>
  </si>
  <si>
    <t>1.5 ชม./สป/ฉบับ</t>
  </si>
  <si>
    <t>6 ชม./สป/ฉบับ</t>
  </si>
  <si>
    <t>10 ชม./สป/ฉบับ</t>
  </si>
  <si>
    <t>5 ชม./สป/ฉบับ</t>
  </si>
  <si>
    <t>รวม ภาระงาน 3.4</t>
  </si>
  <si>
    <t>ประเภทการจัดประชุม อบรม สัมมนา</t>
  </si>
  <si>
    <t>40 ชม./ครั้ง</t>
  </si>
  <si>
    <t>80 ชม./ครั้ง</t>
  </si>
  <si>
    <t>60 ชม./ครั้ง</t>
  </si>
  <si>
    <t>120 ชม./ครั้ง</t>
  </si>
  <si>
    <t>30 ชม./ครั้ง</t>
  </si>
  <si>
    <t>หน่วย</t>
  </si>
  <si>
    <t>ของงาน</t>
  </si>
  <si>
    <t>รวม ภาระงาน 3.5</t>
  </si>
  <si>
    <t>ที่ปรึกษาผลงานทางวิชาการ</t>
  </si>
  <si>
    <t>ที่ปรึกษางานวิชาชีพ</t>
  </si>
  <si>
    <t>การพิจารณาบทความตีพิมพ์ในวารสารในประเทศ</t>
  </si>
  <si>
    <t>การพิจารณาบทความตีพิมพ์ในวารสารต่างประเทศ</t>
  </si>
  <si>
    <t>การพิจารณาตำรา หนังสือ รายงานวิจัยฉบับสมบูรณ์</t>
  </si>
  <si>
    <t>การพิจารณาข้อเสนอโครงการ</t>
  </si>
  <si>
    <t>การประเมินเพื่อการขอรับการแต่งตั้งเป็นผู้ช่วยศาสตราจารย์</t>
  </si>
  <si>
    <t>การประเมินเพื่อการขอรับการแต่งตั้งเป็นรองศาสตราจารย์</t>
  </si>
  <si>
    <t>การเป็นที่ปรึกษาหน่วยงานของรัฐ/กลุ่มชุมชน/ท้องถิ่น</t>
  </si>
  <si>
    <t>งานวิเคราะห์ ทดสอบ ที่ไม่ได้รับค่าตอบแทน</t>
  </si>
  <si>
    <t>งานออกแบบ การก่อสร้าง การซ่อมแซม</t>
  </si>
  <si>
    <t>1 ชม./1 ชม.ปฏิบัติงาน</t>
  </si>
  <si>
    <t>3 ชม./1 บทความ</t>
  </si>
  <si>
    <t>5 ชม./1 บทความ</t>
  </si>
  <si>
    <t>10 ชม./เล่ม</t>
  </si>
  <si>
    <t>2 ชม./โครงการ</t>
  </si>
  <si>
    <t>5 ชม./1 ราย</t>
  </si>
  <si>
    <t>10 ชม./1 ราย</t>
  </si>
  <si>
    <t>15 ชม./1 ราย</t>
  </si>
  <si>
    <t>2 ชม./1 ชม.ปฏิบัติงาน</t>
  </si>
  <si>
    <t>การจัดนิทรรศการทางวิชาการ</t>
  </si>
  <si>
    <t>ประเภทของผลงาน</t>
  </si>
  <si>
    <t>สิทธิบัตรต่างประเทศ</t>
  </si>
  <si>
    <t>รวม ภาระงาน 2.3.4</t>
  </si>
  <si>
    <t>การประเมินเพื่อการขอรับการแต่งตั้งเป็นศาสตราจารย์</t>
  </si>
  <si>
    <t>การจัดโครงการ/เข้าร่วมกิจกรรม</t>
  </si>
  <si>
    <t>15 ชม./โครงการ</t>
  </si>
  <si>
    <t>รวม ภาระงาน 4</t>
  </si>
  <si>
    <t>ลักษณะงาน</t>
  </si>
  <si>
    <t>อาจารย์ที่ปรึกษากิจกรรมนักศึกษา</t>
  </si>
  <si>
    <t>อาจารย์ที่ปรึกษาด้านกีฬาและนันทนาการ</t>
  </si>
  <si>
    <t>รวม ภาระงาน 5.1</t>
  </si>
  <si>
    <t>1 ชม./สป.</t>
  </si>
  <si>
    <t>1.5 ชม./สป.</t>
  </si>
  <si>
    <t>2 ชม./สป.</t>
  </si>
  <si>
    <t>รวม ภาระงาน 5.2</t>
  </si>
  <si>
    <t>ชุดของ</t>
  </si>
  <si>
    <t>การเป็น</t>
  </si>
  <si>
    <t>ประธานกรรมการ</t>
  </si>
  <si>
    <t>กรรมการ, เลขานุการ</t>
  </si>
  <si>
    <t>5 ชม./สป.</t>
  </si>
  <si>
    <t>2.5 ชม./สป.</t>
  </si>
  <si>
    <t>กรรมการ/ตำแหน่ง</t>
  </si>
  <si>
    <t>ตำแหน่ง</t>
  </si>
  <si>
    <t>ประธานสภาคณาจารย์</t>
  </si>
  <si>
    <t>รองประธานสภาคณาจารย์</t>
  </si>
  <si>
    <t>ตัวแทนสภาคณาจารย์</t>
  </si>
  <si>
    <t>10 ชม./สป.</t>
  </si>
  <si>
    <t>รวม ภาระงาน 5.3</t>
  </si>
  <si>
    <t>รวม ภาระงาน 5.4</t>
  </si>
  <si>
    <t>ลักษณะภาระงาน 5 ด้าน</t>
  </si>
  <si>
    <t xml:space="preserve">                 ภาคการศึกษาที่</t>
  </si>
  <si>
    <t xml:space="preserve">         ปีการศึกษา</t>
  </si>
  <si>
    <t xml:space="preserve">ตามข้อบังคับมหาวิทยาลัยเทคโนโลยีราชมงคลศรีวิชัย </t>
  </si>
  <si>
    <t>และตามประกาศมหาวิทยาลัยเทคโนโลยีราชมงคลศรีวิชัย</t>
  </si>
  <si>
    <t xml:space="preserve">ว่าด้วยการกำหนดภาระงานทางวิชาการของผู้ดำรงตำแหน่งอาจารย์ ผู้ช่วยศาสตราจารย์ </t>
  </si>
  <si>
    <t xml:space="preserve">เรื่อง หลักเกณฑ์การกำหนดมาตรฐานภาระงานทางวิชาการของผู้ดำรงตำแหน่งอาจารย์ ผู้ช่วยศาสตราจารย์ </t>
  </si>
  <si>
    <t>รองศาสตราจารย์และศาสตราจารย์    ลงวันที่ 3 ธันวาคม พ.ศ.2552</t>
  </si>
  <si>
    <t>รองศาสตราจารย์และศาสตราจารย์  พ.ศ. 2552</t>
  </si>
  <si>
    <t>อาจารย์</t>
  </si>
  <si>
    <t>2. ภาระงาน ผลงานทางวิชาการ งานบริการวิชาการ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</si>
  <si>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เกณฑ์กำหนด</t>
  </si>
  <si>
    <t>(ไม่น้อยกว่า)</t>
  </si>
  <si>
    <t>3. ภาระงานในข้อ 2 ไม่ถึงเกณฑ์ นำภาระงานในข้อ 1 ทดแทนได้</t>
  </si>
  <si>
    <t>ทดแทน</t>
  </si>
  <si>
    <t>5. มีหน่วยกิตรวม</t>
  </si>
  <si>
    <t>4. มีรายวิชาสอน (ต่อภาคการศึกษา)</t>
  </si>
  <si>
    <t>2. ภาระงานที่เป็นผลงานทางวิชาการ (จากหัวข้อดังต่อไปนี้)</t>
  </si>
  <si>
    <t>2.4 บทความทางวิชาการ ปีละ 2 รายการ</t>
  </si>
  <si>
    <t>3. ภาระงาน 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</si>
  <si>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ผศ.</t>
  </si>
  <si>
    <t>4. ภาระงานในข้อ 3 ไม่ถึงเกณฑ์ นำภาระงานในข้อ 1และ 2 ทดแทนได้</t>
  </si>
  <si>
    <t>รศ.</t>
  </si>
  <si>
    <t xml:space="preserve">2.3 ผลงานทางวิชาการที่เทียบได้กับ 2.1 ปีละ 2 เรื่อง </t>
  </si>
  <si>
    <t>ตำแหน่งทางวิชาการ</t>
  </si>
  <si>
    <t>ตำแหน่งทางบริหาร</t>
  </si>
  <si>
    <t>สรุปเกณฑ์ภาระงานของคณาจารย์ประจำ</t>
  </si>
  <si>
    <t>สาขา</t>
  </si>
  <si>
    <t>เทอม</t>
  </si>
  <si>
    <t>ปีการศึกษา</t>
  </si>
  <si>
    <t>การ</t>
  </si>
  <si>
    <t>ภาระ</t>
  </si>
  <si>
    <t xml:space="preserve">การดำเนินงานวิจัย </t>
  </si>
  <si>
    <t>สัดส่วน</t>
  </si>
  <si>
    <t>การเผยแพร่บทความทางวิชาการ ผ่านสื่อต่างๆ (วิทยุ, โทรทัศน์, สิ่งพิมพ์, เวปไซต์)</t>
  </si>
  <si>
    <t>อาจารย์ที่ปรึกษาด้านแนะแนวนักศึกษา</t>
  </si>
  <si>
    <t>อาจารย์ที่ปรึกษาด้านพัฒนาวินัยนักศึกษา</t>
  </si>
  <si>
    <t xml:space="preserve"> -------/----------/---------</t>
  </si>
  <si>
    <t>อาจารย์ที่ปรึกษาทั่วไป (อาจารย์ที่ปรึกษานักศึกษา)</t>
  </si>
  <si>
    <t>% การมี</t>
  </si>
  <si>
    <t>ส่วนร่วม</t>
  </si>
  <si>
    <t>โครงการ</t>
  </si>
  <si>
    <t>ชั่วโมงการเข้าร่วมกิจกรรม</t>
  </si>
  <si>
    <t xml:space="preserve">(% การมีส่วนร่วม หาจาก </t>
  </si>
  <si>
    <t>3 ชม./ครั้ง (ไม่เกิน 4 ครั้ง/ภาคการศึกษา)</t>
  </si>
  <si>
    <t>การจัดทำ/การเผยแพร่บทความทางวิชาการ</t>
  </si>
  <si>
    <t>ชั่วโมงสอน</t>
  </si>
  <si>
    <t>การวิจัย(%)</t>
  </si>
  <si>
    <t>234 ชม./เล่ม/ภาคการศึกษา</t>
  </si>
  <si>
    <t>สัดส่วนของ</t>
  </si>
  <si>
    <t>ผลงาน(%)</t>
  </si>
  <si>
    <t xml:space="preserve">การนำเสนอผลงานวิจัย </t>
  </si>
  <si>
    <t>การให้บริการทางวิชาการ ในลักษณะเป็นที่ปรึกษา ไม่ได้รับค่าตอบแทน</t>
  </si>
  <si>
    <t>การให้บริการทางวิชาการ ในลักษณะเป็นที่ปรึกษา ได้รับค่าตอบแทน</t>
  </si>
  <si>
    <t>1 ชม./1 ชม.เข้าร่วมกิจกรรม</t>
  </si>
  <si>
    <t xml:space="preserve">รวม ภาระงาน 1.2 </t>
  </si>
  <si>
    <t xml:space="preserve">      ตำแหน่งบริหาร</t>
  </si>
  <si>
    <t xml:space="preserve">                  ตำแหน่งทางวิชาการ</t>
  </si>
  <si>
    <t>6 ชม./สป./หน่วยของงาน</t>
  </si>
  <si>
    <t>ที่ได้</t>
  </si>
  <si>
    <t>ชม./สป.</t>
  </si>
  <si>
    <t>รวมภาระงานทั้งหมด</t>
  </si>
  <si>
    <t>1. ภาระงานสอน (1.1/1.2/1.3/1.4/1.5)</t>
  </si>
  <si>
    <t xml:space="preserve">  รวมภาระงานทั้ง 5 ด้าน</t>
  </si>
  <si>
    <t>(......................................)</t>
  </si>
  <si>
    <t>ลงชื่อ</t>
  </si>
  <si>
    <t>ผู้จัดทำภาระงาน</t>
  </si>
  <si>
    <t>ผู้ตรวจสอบภาระงาน</t>
  </si>
  <si>
    <t>คณบดี</t>
  </si>
  <si>
    <t>รองคณบดีฝ่ายบริหาร</t>
  </si>
  <si>
    <t>หัวหน้าสาขา</t>
  </si>
  <si>
    <t>บรรยาย</t>
  </si>
  <si>
    <t>การเป็นอาจารย์ที่ปรึกษาหลัก (Advicer)</t>
  </si>
  <si>
    <t>การเป็นอาจารย์ที่ปรึกษาร่วม (Co-Advicer)</t>
  </si>
  <si>
    <t>เรื่องที่</t>
  </si>
  <si>
    <t>งานวิจัย</t>
  </si>
  <si>
    <t>2. ภาระงานที่ปรากฏเป็นผลงานทางวิชาการ</t>
  </si>
  <si>
    <t>3. ภาระงานด้านบริการทางวิชาการ</t>
  </si>
  <si>
    <t>5. ภาระงานด้านพัฒนานักศึกษา งานที่ได้รับแต่งตั้งให้ดำรงตำแหน่งและงานที่ได้รับมอบหมายอื่นๆ</t>
  </si>
  <si>
    <t xml:space="preserve">         2.2  การเรียบเรียงตำราและหนังสือ</t>
  </si>
  <si>
    <t xml:space="preserve">         2.3  บทความและเอกสารทางวิชาการ</t>
  </si>
  <si>
    <t xml:space="preserve">          3.1 การเป็นวิทยากร</t>
  </si>
  <si>
    <t xml:space="preserve">        3.3 การจัดทำ เผยแพร่บทความทางวิชาการในลักษณะอื่นๆ</t>
  </si>
  <si>
    <t xml:space="preserve">         5.3 งานสภาคณาจารย์</t>
  </si>
  <si>
    <t xml:space="preserve">        5.4 งานที่ได้รับมอบหมายอื่นๆ</t>
  </si>
  <si>
    <t>ที่</t>
  </si>
  <si>
    <t>1 ชม./สป./หน่วย</t>
  </si>
  <si>
    <t>20 ชม./คำสั่ง</t>
  </si>
  <si>
    <t>3 ชม./คำสั่ง</t>
  </si>
  <si>
    <t>5 ชม./คำสั่ง</t>
  </si>
  <si>
    <t>3 ชม./ครั้ง(คำสั่ง)</t>
  </si>
  <si>
    <t xml:space="preserve">ประเภทการให้บริการทางวิชาการ </t>
  </si>
  <si>
    <t xml:space="preserve">         3.2 การเป็นกรรมการต่างๆ ของหน่วยงานภายนอกมหาวิทยาลัย</t>
  </si>
  <si>
    <t>% การสอน (กรณีสอนร่วม)</t>
  </si>
  <si>
    <t>ชื่อโครงการ</t>
  </si>
  <si>
    <t xml:space="preserve">       5.2 งานของผู้ปฏิบัติหน้าที่เป็นกรรมการตามที่กำหนดไว้ใน พรบ.มหาวิทยาลัยเทคโนโลยีราชมงคล พ.ศ. 2548</t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</si>
  <si>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1.1 </t>
    </r>
  </si>
  <si>
    <r>
      <t xml:space="preserve">                 </t>
    </r>
    <r>
      <rPr>
        <b/>
        <u/>
        <sz val="14"/>
        <rFont val="TH SarabunPSK"/>
        <family val="2"/>
      </rPr>
      <t>2.3.1 ผลงานวิจัย บทความวิจัยที่ตีพิมพ์ในวารสาร</t>
    </r>
  </si>
  <si>
    <r>
      <t xml:space="preserve">              </t>
    </r>
    <r>
      <rPr>
        <b/>
        <u/>
        <sz val="14"/>
        <rFont val="TH SarabunPSK"/>
        <family val="2"/>
      </rPr>
      <t>2.3.2  บทความปริทัศน์ ที่ได้รับการตีพิมพ์ในวารสาร</t>
    </r>
  </si>
  <si>
    <r>
      <t xml:space="preserve">             </t>
    </r>
    <r>
      <rPr>
        <b/>
        <u/>
        <sz val="14"/>
        <rFont val="TH SarabunPSK"/>
        <family val="2"/>
      </rPr>
      <t>2.3.3  ผลงานวิจัยที่นำเสนอในที่ประชุมทางวิชาการ</t>
    </r>
  </si>
  <si>
    <r>
      <t>หมายเหตุ</t>
    </r>
    <r>
      <rPr>
        <sz val="12"/>
        <rFont val="TH SarabunPSK"/>
        <family val="2"/>
      </rPr>
      <t xml:space="preserve"> (เปอร์เซนต์การมีส่วนร่วมหาจาก 100/จำนวนบุคคลทั้งหมดที่ร่วมจัดโครงการในแต่ละครั้ง)</t>
    </r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</si>
  <si>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1.3 </t>
    </r>
  </si>
  <si>
    <t>1 ชม/สป./หน่วยกิต</t>
  </si>
  <si>
    <t>0.1 ชม./สป/หน่วยกิต/คน</t>
  </si>
  <si>
    <t>1.5 ชม/1 ชม. ทำงาน</t>
  </si>
  <si>
    <t xml:space="preserve">รวม ภาระงาน 1.4 </t>
  </si>
  <si>
    <t xml:space="preserve">1. ภาระงานด้านการสอน </t>
  </si>
  <si>
    <t>รวม ภาระงาน 1.6</t>
  </si>
  <si>
    <t xml:space="preserve">         1.6 การเป็นผู้สอนรายวิชาสัมมนา หรือ เป็นอาจารย์ที่ปรึกษา เรื่องสัมมนาของนักศึกษา</t>
  </si>
  <si>
    <t>รวม ภาระงาน 1.7</t>
  </si>
  <si>
    <r>
      <t xml:space="preserve">        1.7 การเป็นผู้สอนหรือที่ปรึกษา โครงงาน  ปัญหาพิเศษ 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เท่านั้น)</t>
    </r>
  </si>
  <si>
    <t>รวม ภาระงาน 1.8</t>
  </si>
  <si>
    <t>จำนวนเรื่องวิทยานิพนธ์</t>
  </si>
  <si>
    <t>3 ชม./สป/เรื่อง/หน่วยกิต</t>
  </si>
  <si>
    <t>1 ชม./สป/เรื่อง/หน่วยกิต</t>
  </si>
  <si>
    <t>การเป็นกรรมการสอบประมวลความรู้นักศึกษา</t>
  </si>
  <si>
    <t>2 ชม./นักศึกษา 1 คน</t>
  </si>
  <si>
    <t>จำนวนนักศึกษา</t>
  </si>
  <si>
    <t>3 ชม./นักศึกษา 1 คน</t>
  </si>
  <si>
    <t>รวม ภาระงาน 1.10</t>
  </si>
  <si>
    <t>รวม ภาระงาน 1.9</t>
  </si>
  <si>
    <t>หน่วยของงาน</t>
  </si>
  <si>
    <t xml:space="preserve">       -------/----------/---------</t>
  </si>
  <si>
    <t>1. ภาระงานสอน (1.1 - 1.10)</t>
  </si>
  <si>
    <r>
      <t xml:space="preserve">2.1 เผยแพร่งานวิจัย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</si>
  <si>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1 เล่ม  </t>
    </r>
    <r>
      <rPr>
        <b/>
        <u/>
        <sz val="14"/>
        <rFont val="TH SarabunPSK"/>
        <family val="2"/>
      </rPr>
      <t>หรือ</t>
    </r>
  </si>
  <si>
    <r>
      <t xml:space="preserve">2.3 ผลงานทางวิชาการที่เทียบได้กับ 2.1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</si>
  <si>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2.1 เผยแพร่งานวิจัย ปีละ 2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</si>
  <si>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2 เล่ม  </t>
    </r>
    <r>
      <rPr>
        <b/>
        <u/>
        <sz val="14"/>
        <rFont val="TH SarabunPSK"/>
        <family val="2"/>
      </rPr>
      <t>หรือ</t>
    </r>
  </si>
  <si>
    <t>จำนวนคาบรวมที่สอน/สัปดาห์</t>
  </si>
  <si>
    <t>หน้าที่ 8/8</t>
  </si>
  <si>
    <t>หน้าที่ 7/8</t>
  </si>
  <si>
    <t>หน้าที่ 6/8</t>
  </si>
  <si>
    <t>หน้าที่ 5/8</t>
  </si>
  <si>
    <t>หน้าที่ 4/8</t>
  </si>
  <si>
    <t>หน้าที่ 3/8</t>
  </si>
  <si>
    <t>หน้าที่ 2/8</t>
  </si>
  <si>
    <t>หน้าที่ 1/8</t>
  </si>
  <si>
    <t>การเป็นกรรมการสอบวัดคุณสมบัติ</t>
  </si>
  <si>
    <t>เรื่องที่สอบ</t>
  </si>
  <si>
    <t xml:space="preserve">แบบภาระงานของคณาจารย์ประจำ </t>
  </si>
  <si>
    <r>
      <t xml:space="preserve">        1.5 การฝึกงานภายใน/การฝึกงานภายนอก/ นิเทศฝึกงาน/สหกิจศึกษา/นิเทศสหกิจศึกษา ใน</t>
    </r>
    <r>
      <rPr>
        <b/>
        <u/>
        <sz val="14"/>
        <color indexed="10"/>
        <rFont val="TH SarabunPSK"/>
        <family val="2"/>
      </rPr>
      <t>ระดับปริญญาตรี</t>
    </r>
  </si>
  <si>
    <t xml:space="preserve">การเป็นกรรมการสอบวิทยานิพนธ์                  </t>
  </si>
  <si>
    <t>1. งานวิจัย เรื่อง</t>
  </si>
  <si>
    <t>2. งานวิจัย เรื่อง</t>
  </si>
  <si>
    <t>3. งานวิจัย เรื่อง</t>
  </si>
  <si>
    <t>4. งานวิจัย เรื่อง</t>
  </si>
  <si>
    <t>5. งานวิจัย เรื่อง</t>
  </si>
  <si>
    <t>จำนวนชุดโครงการ</t>
  </si>
  <si>
    <r>
      <t xml:space="preserve">          2.1 งานวิจัย </t>
    </r>
    <r>
      <rPr>
        <b/>
        <sz val="14"/>
        <color rgb="FFFF0000"/>
        <rFont val="TH SarabunPSK"/>
        <family val="2"/>
      </rPr>
      <t xml:space="preserve">(ต้องเป็นงานวิจัยที่อยู่ในฐานข้อมูลการวิจัยของคณะฯ ในแต่ละปีงบประมาณ) </t>
    </r>
  </si>
  <si>
    <r>
      <t xml:space="preserve">งานวิจัย </t>
    </r>
    <r>
      <rPr>
        <b/>
        <sz val="12"/>
        <color rgb="FFFF0000"/>
        <rFont val="TH SarabunPSK"/>
        <family val="2"/>
      </rPr>
      <t>(อยู่ในระยะเวลาปีงบประมาณของงานวิจัย ไม่นับงานวิจัยที่ขยายเวลา)</t>
    </r>
  </si>
  <si>
    <r>
      <t>เป็นวิทยากรให้กับหน่วยงานอื่นๆ ทั้งภายในมหาวิทยาลัยและภายนอก</t>
    </r>
    <r>
      <rPr>
        <sz val="12"/>
        <color rgb="FFFF0000"/>
        <rFont val="TH SarabunPSK"/>
        <family val="2"/>
      </rPr>
      <t>ที่เป็นหน่วยงานภาครัฐ</t>
    </r>
    <r>
      <rPr>
        <sz val="12"/>
        <rFont val="TH SarabunPSK"/>
        <family val="2"/>
      </rPr>
      <t xml:space="preserve"> โดยมีหนังสือเชิญและได้รับอนุมัติจากคณะฯ แล้ว</t>
    </r>
  </si>
  <si>
    <t>1 ชม./เวลาการบรรยาย 1 ชม.</t>
  </si>
  <si>
    <r>
      <t xml:space="preserve">การปฏิบัติงานที่เป็นกรรมการตามคำเชิญของหน่วยงานภายนอก                    </t>
    </r>
    <r>
      <rPr>
        <sz val="12"/>
        <color rgb="FFFF0000"/>
        <rFont val="TH SarabunPSK"/>
        <family val="2"/>
      </rPr>
      <t>ต้องมีคำสั่งแต่งตั้ง</t>
    </r>
    <r>
      <rPr>
        <sz val="12"/>
        <rFont val="TH SarabunPSK"/>
        <family val="2"/>
      </rPr>
      <t xml:space="preserve"> และได้รับอนุมัติจากคณะฯ แล้ว</t>
    </r>
  </si>
  <si>
    <t>ชื่อหนังสือ/ตำรา</t>
  </si>
  <si>
    <t>ฉบับ</t>
  </si>
  <si>
    <t xml:space="preserve">                   5 ชม./เรื่อง   (จำนวนเรื่อง)</t>
  </si>
  <si>
    <t xml:space="preserve">         3.4 การจัดประชุม อบรม สัมมนาทางวิชาการและโครงการบริการทางวิชาการ</t>
  </si>
  <si>
    <t xml:space="preserve">การจัดโครงการบริการทางวิชาการ </t>
  </si>
  <si>
    <t xml:space="preserve">    ครั้งที่ 1 ชื่อโครงการ</t>
  </si>
  <si>
    <t xml:space="preserve">    ครั้งที่ 2 ชื่อโครงการ</t>
  </si>
  <si>
    <t xml:space="preserve">    ครั้งที่ 3 ชื่อโครงการ</t>
  </si>
  <si>
    <t>100/บุคคลในคำสั่งที่ร่วมจัด</t>
  </si>
  <si>
    <t>โครงการทั้งหมด ในแต่ละครั้ง)</t>
  </si>
  <si>
    <t>การจัดโครงการประชุมวิชาการ สัมมนาทางวิชาการในประเทศ</t>
  </si>
  <si>
    <t>การจัดโครงการประชุมวิชาการ สัมมนาทางวิชาการ ระดับนานาชาติ</t>
  </si>
  <si>
    <t xml:space="preserve">การจัดโครงการอบรม สัมมนา บริการทางวิชาการ ระดับนานาชาติ </t>
  </si>
  <si>
    <r>
      <t xml:space="preserve">          3.5 การให้บริการทางวิชาการในฐานะผู้เชี่ยวชาญ </t>
    </r>
    <r>
      <rPr>
        <b/>
        <u/>
        <sz val="14"/>
        <color rgb="FFFF0000"/>
        <rFont val="TH SarabunPSK"/>
        <family val="2"/>
      </rPr>
      <t>(เป็นการให้บริการที่มีการติดต่อผ่านคณะฯ และได้รับอนุมัติจากคณะแล้ว)</t>
    </r>
  </si>
  <si>
    <t>การออกให้บริการพัฒนาชุมชน (ได้รับความเห็นชอบจากคณะฯ แล้ว)</t>
  </si>
  <si>
    <t>ไม่เกิน 7 ชม.</t>
  </si>
  <si>
    <t>4. ภาระงานด้านการทำนุบำรุงศิลปวัฒนธรรม</t>
  </si>
  <si>
    <t>การเข้าร่วมกิจกรรมทางด้านทำนุบำรุงศิลปวัฒนธรรมและสิ่งแวดล้อม</t>
  </si>
  <si>
    <t>การจัดโครงการทางด้านทำนุบำรุงศิลปวัฒนธรรม หรือโครงการเพื่อการอนุรักษ์สิ่งแวดล้อม</t>
  </si>
  <si>
    <r>
      <t xml:space="preserve">       คือ </t>
    </r>
    <r>
      <rPr>
        <b/>
        <sz val="14"/>
        <color rgb="FFFF0000"/>
        <rFont val="TH SarabunPSK"/>
        <family val="2"/>
      </rPr>
      <t xml:space="preserve">1.กรรมการสภามหาวิทยาลัย 2. กรรมการสภาวิชาการ 3. กรรมการประจำวิทยาเขต 4.กรรมการส่งเสริมกิจการวิทยาเขต </t>
    </r>
  </si>
  <si>
    <r>
      <t xml:space="preserve">      </t>
    </r>
    <r>
      <rPr>
        <b/>
        <sz val="14"/>
        <color rgb="FFFF0000"/>
        <rFont val="TH SarabunPSK"/>
        <family val="2"/>
      </rPr>
      <t xml:space="preserve"> และ 5. กรรมการประจำคณะ       เท่านั้น</t>
    </r>
  </si>
  <si>
    <t>งานหัวหน้าศูนย์/ผู้ช่วยคณบดี</t>
  </si>
  <si>
    <t>โครงการด้านทำนุบำรุงศิลปวัฒนธรรม และโครงการด้านการอนุรักษ์สิ่งแวดล้อม</t>
  </si>
  <si>
    <r>
      <t xml:space="preserve">งานกรรมการโครงการอื่นๆ </t>
    </r>
    <r>
      <rPr>
        <sz val="16"/>
        <color rgb="FFFF0000"/>
        <rFont val="TH SarabunPSK"/>
        <family val="2"/>
      </rPr>
      <t>ที่มิใช่</t>
    </r>
    <r>
      <rPr>
        <sz val="12"/>
        <rFont val="TH SarabunPSK"/>
        <family val="2"/>
      </rPr>
      <t>โครงการทางบริการทางวิชาการ</t>
    </r>
  </si>
  <si>
    <r>
      <t xml:space="preserve">        1.10 การเป็นกรรมการสอบประมวลความรู้และสอบวัดคุณสมบัติของนักศึกษา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(ต้องมีคำสั่งแต่งตั้ง)</t>
    </r>
  </si>
  <si>
    <t>การสอนปฏิบัติ</t>
  </si>
  <si>
    <t>1 ชั่วโมงที่ทำการสอน = 1 ภาระงาน</t>
  </si>
  <si>
    <t>0.067 x จำนวนนักศึกษาที่เพิ่มขึ้น</t>
  </si>
  <si>
    <r>
      <t xml:space="preserve">         1.1 การสอนบรรยาย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</si>
  <si>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1.2 การสอนภาคปฏิบัติ </t>
    </r>
    <r>
      <rPr>
        <b/>
        <sz val="14"/>
        <color indexed="10"/>
        <rFont val="TH SarabunPSK"/>
        <family val="2"/>
      </rPr>
      <t xml:space="preserve">ระดับปริญญาตรี </t>
    </r>
    <r>
      <rPr>
        <b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</si>
  <si>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1.3 การสอนบรรยาย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</si>
  <si>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1.4 การสอนภาคปฏิบัติ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(ยกเว้นรายวิชาวิทยานิพนธ์, สัมมนา)</t>
    </r>
  </si>
  <si>
    <t>1 ชม./คน/ภาคการศึกษา (ไม่เกิน 15 ชั่วโมง )</t>
  </si>
  <si>
    <t>0.5 ชม./สป./ภาคการศึกษา</t>
  </si>
  <si>
    <t>1.5 ชั่วโมง/การสอน 1 ชั่วโมง/สัปดาห์</t>
  </si>
  <si>
    <t>2 ชม./สป/เรื่อง/หน่วยกิต</t>
  </si>
  <si>
    <t>จำนวนเรื่อง</t>
  </si>
  <si>
    <t>1 ชม./เรื่อง/ภาคการศึกษา</t>
  </si>
  <si>
    <t>การเป็นอาจารย์ที่ปรึกษาหลัก เรื่อง การค้นคว้าอิสระ</t>
  </si>
  <si>
    <t>การเป็นอาจารย์ที่ปรึกษาร่วม เรื่อง การค้นคว้าอิสระ</t>
  </si>
  <si>
    <t>จำนวนเรื่องของการค้นคว้าอิสระ</t>
  </si>
  <si>
    <t>การเป็นกรรมการสอบ การค้นคว้าอิสระ</t>
  </si>
  <si>
    <r>
      <t xml:space="preserve">        1.8 การเป็นอาจารย์ที่ปรึกษาค้นคว้าอิสระ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(เฉพาะภาคเรียนที่เปิดรายวิชาเท่านั้น ไม่เกิน 15 คน/ภาคการศึกษา)</t>
    </r>
  </si>
  <si>
    <r>
      <t xml:space="preserve">        1.9 การเป็นผู้สอนหรือที่ปรึกษา วิทยานิพนธ์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 และไม่เกิน 5 คน)</t>
    </r>
  </si>
  <si>
    <r>
      <t xml:space="preserve">การเป็นกรรมการสอบโครงร่างวิทยานิพนธ์ </t>
    </r>
    <r>
      <rPr>
        <sz val="12"/>
        <color rgb="FFFF0000"/>
        <rFont val="TH SarabunPSK"/>
        <family val="2"/>
      </rPr>
      <t>(ยกเว้นกรรมการที่เป็นอาจารย์ที่ปรึกษาอยู่แล้ว)</t>
    </r>
  </si>
  <si>
    <t>6 ชม./เรื่อง/ภาคการศึกษา</t>
  </si>
  <si>
    <t>3 ชม./เรื่อง/ภาคการศึกษา</t>
  </si>
  <si>
    <t>10 ชม./เรื่อง/ภาคการศึกษา</t>
  </si>
  <si>
    <r>
      <rPr>
        <u/>
        <sz val="12"/>
        <rFont val="TH SarabunPSK"/>
        <family val="2"/>
      </rPr>
      <t>การเป็นผู้บริหารชุดโครงการวิจัย</t>
    </r>
    <r>
      <rPr>
        <sz val="12"/>
        <rFont val="TH SarabunPSK"/>
        <family val="2"/>
      </rPr>
      <t xml:space="preserve">   เกณฑ์ที่กำหนดไม่เกิน 3 ชม./สป./ชุดโครงการ </t>
    </r>
  </si>
  <si>
    <t xml:space="preserve">ตีพิมพ์ในวารสารระดับชาติ ที่ไม่อยู่ในฐานข้อมูล สกอ./สกว. </t>
  </si>
  <si>
    <t>งานวิจัยที่ไม่ได้ตีพิมพ์เผยแพร่ แต่นำมาใช้ประโยชน์ โดยมีหลักฐาน</t>
  </si>
  <si>
    <t>30 ชม./เรื่อง</t>
  </si>
  <si>
    <r>
      <t xml:space="preserve">            </t>
    </r>
    <r>
      <rPr>
        <b/>
        <u/>
        <sz val="14"/>
        <rFont val="TH SarabunPSK"/>
        <family val="2"/>
      </rPr>
      <t>2.3.4  ผลงานทางวิชาการในลักษณะอื่น เช่น สิ่งประดิษฐ์ นวัตกรรม</t>
    </r>
  </si>
  <si>
    <t>อนุสิทธิบัตรในประเทศ</t>
  </si>
  <si>
    <t>สิทธิบัตรในประเทศ</t>
  </si>
  <si>
    <t>อนุสิทธิบัตรต่างประเทศ</t>
  </si>
  <si>
    <t>100 ชม./เรื่อง (ชิ้น)</t>
  </si>
  <si>
    <t>150 ชม./เรื่อง (ชิ้น)</t>
  </si>
  <si>
    <t>200 ชม./เรื่อง (ชิ้น)</t>
  </si>
  <si>
    <t>300 ชม./เรื่อง (ชิ้น)</t>
  </si>
  <si>
    <t>เรื่อง (ชิ้น)</t>
  </si>
  <si>
    <r>
      <t xml:space="preserve">         5.1 งานด้านพัฒนานักศึกษา </t>
    </r>
    <r>
      <rPr>
        <b/>
        <sz val="14"/>
        <color rgb="FFFF0000"/>
        <rFont val="TH SarabunPSK"/>
        <family val="2"/>
      </rPr>
      <t>(ต้องมีคำสั่งแต่งตั้งจากคณะฯ อย่างถูกต้อง)</t>
    </r>
  </si>
  <si>
    <t xml:space="preserve">อาจารย์ที่ปรึกษาชมรม/สโมสรนักศึกษา </t>
  </si>
  <si>
    <t>งานมอบหมาย (มีคำสั่งหรือคำสั่งแต่งตั้ง ของคณะฯ วิทยาเขตฯ มหาวิทยาลัย)</t>
  </si>
  <si>
    <t>งานหัวหน้าหน่วยต่างๆ ของคณะฯ</t>
  </si>
  <si>
    <t xml:space="preserve">งานกรรมการต่างๆ ของคณะฯ (ด้านบริหาร, วิชาการ, พัฒนานักศึกษา  เป็นคำสั่งไม่มีระยะเวลา) </t>
  </si>
  <si>
    <t>มีระยะเวลาการปฏิบัติงานเป็นครั้งๆ ไป</t>
  </si>
  <si>
    <t>งานประธานหลักสูตร</t>
  </si>
  <si>
    <t>งานผู้รับผิดชอบหลักสูตร</t>
  </si>
  <si>
    <t>4 ชม./สป./หลักสูตร</t>
  </si>
  <si>
    <t>2 ชม./สป./หลักสูตร</t>
  </si>
  <si>
    <t>1 ชม./สป./1 ชุดกรรมการ</t>
  </si>
  <si>
    <t>คณะศิลปศาสตร์</t>
  </si>
  <si>
    <t>งานกรรมการอื่นๆ ตามคำสั่ง มทร.ศรีวิชัยฯ/คณะฯ</t>
  </si>
  <si>
    <t>งานกรรมการเปิดซองสอบราคา, ตรวจรับครุภัณฑ์ (คณะฯ/ มทร.ศรีวิชัย)</t>
  </si>
  <si>
    <t>งานกรรมการควบคุมงานก่อสร้าง, กรรมการตรวจรับงานก่อสร้าง  (คณะฯ/มทร.ศรีวิชัย)</t>
  </si>
  <si>
    <t>ตั้งแต่ 1 เม.ย.60 - 30 ก.ย. 60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</si>
</sst>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????_-;_-@_-"/>
  </numFmts>
  <fonts count="42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2"/>
      <name val="TH SarabunPSK"/>
      <family val="2"/>
    </font>
    <font>
      <b/>
      <sz val="16"/>
      <color indexed="9"/>
      <name val="TH SarabunPSK"/>
      <family val="2"/>
    </font>
    <font>
      <b/>
      <u/>
      <sz val="14"/>
      <name val="TH SarabunPSK"/>
      <family val="2"/>
    </font>
    <font>
      <b/>
      <u/>
      <sz val="14"/>
      <color indexed="10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b/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9"/>
      <name val="TH SarabunPSK"/>
      <family val="2"/>
    </font>
    <font>
      <i/>
      <sz val="10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i/>
      <sz val="14"/>
      <name val="TH SarabunPSK"/>
      <family val="2"/>
    </font>
    <font>
      <sz val="12"/>
      <color rgb="FFFF0000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12"/>
      <color indexed="81"/>
      <name val="TH SarabunPSK"/>
      <family val="2"/>
    </font>
    <font>
      <sz val="16"/>
      <color rgb="FFFF0000"/>
      <name val="TH SarabunPSK"/>
      <family val="2"/>
    </font>
    <font>
      <b/>
      <sz val="11"/>
      <name val="TH SarabunPSK"/>
      <family val="2"/>
    </font>
    <font>
      <sz val="14"/>
      <color indexed="8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" fontId="4" fillId="0" borderId="0" xfId="0" applyNumberFormat="1" applyFont="1" applyAlignment="1">
      <alignment horizontal="right"/>
    </xf>
    <xf numFmtId="43" fontId="4" fillId="0" borderId="1" xfId="0" applyNumberFormat="1" applyFont="1" applyBorder="1"/>
    <xf numFmtId="43" fontId="4" fillId="0" borderId="1" xfId="1" applyFont="1" applyBorder="1"/>
    <xf numFmtId="188" fontId="4" fillId="0" borderId="1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 applyProtection="1">
      <protection locked="0"/>
    </xf>
    <xf numFmtId="0" fontId="4" fillId="0" borderId="0" xfId="0" applyFont="1"/>
    <xf numFmtId="0" fontId="10" fillId="0" borderId="0" xfId="0" applyFont="1"/>
    <xf numFmtId="43" fontId="11" fillId="0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4" fillId="3" borderId="0" xfId="0" applyFont="1" applyFill="1"/>
    <xf numFmtId="0" fontId="14" fillId="3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0" borderId="1" xfId="0" applyFont="1" applyFill="1" applyBorder="1"/>
    <xf numFmtId="0" fontId="10" fillId="0" borderId="0" xfId="0" applyFont="1" applyProtection="1">
      <protection locked="0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8" xfId="0" applyFont="1" applyBorder="1"/>
    <xf numFmtId="0" fontId="10" fillId="0" borderId="2" xfId="0" applyFont="1" applyBorder="1"/>
    <xf numFmtId="0" fontId="19" fillId="0" borderId="1" xfId="0" applyFont="1" applyFill="1" applyBorder="1" applyAlignment="1">
      <alignment horizontal="right"/>
    </xf>
    <xf numFmtId="0" fontId="20" fillId="6" borderId="4" xfId="0" applyFont="1" applyFill="1" applyBorder="1"/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20" fillId="6" borderId="1" xfId="0" applyFont="1" applyFill="1" applyBorder="1"/>
    <xf numFmtId="0" fontId="14" fillId="0" borderId="0" xfId="0" applyFont="1" applyFill="1" applyBorder="1"/>
    <xf numFmtId="0" fontId="16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right"/>
    </xf>
    <xf numFmtId="2" fontId="16" fillId="7" borderId="6" xfId="0" applyNumberFormat="1" applyFont="1" applyFill="1" applyBorder="1" applyAlignment="1">
      <alignment horizontal="right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/>
    <xf numFmtId="0" fontId="18" fillId="5" borderId="6" xfId="0" applyFont="1" applyFill="1" applyBorder="1"/>
    <xf numFmtId="0" fontId="18" fillId="5" borderId="0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0" fontId="18" fillId="6" borderId="1" xfId="0" applyFont="1" applyFill="1" applyBorder="1" applyAlignment="1">
      <alignment horizontal="right"/>
    </xf>
    <xf numFmtId="0" fontId="16" fillId="7" borderId="9" xfId="0" applyFont="1" applyFill="1" applyBorder="1"/>
    <xf numFmtId="0" fontId="21" fillId="7" borderId="12" xfId="0" applyFont="1" applyFill="1" applyBorder="1" applyAlignment="1">
      <alignment horizontal="right"/>
    </xf>
    <xf numFmtId="43" fontId="16" fillId="7" borderId="1" xfId="1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Protection="1"/>
    <xf numFmtId="2" fontId="10" fillId="0" borderId="7" xfId="0" applyNumberFormat="1" applyFont="1" applyFill="1" applyBorder="1" applyProtection="1"/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2" fontId="10" fillId="0" borderId="12" xfId="0" applyNumberFormat="1" applyFont="1" applyFill="1" applyBorder="1" applyProtection="1"/>
    <xf numFmtId="0" fontId="10" fillId="0" borderId="1" xfId="0" applyFont="1" applyFill="1" applyBorder="1" applyProtection="1"/>
    <xf numFmtId="0" fontId="14" fillId="7" borderId="10" xfId="0" applyFont="1" applyFill="1" applyBorder="1"/>
    <xf numFmtId="43" fontId="16" fillId="7" borderId="12" xfId="1" applyFont="1" applyFill="1" applyBorder="1"/>
    <xf numFmtId="0" fontId="10" fillId="0" borderId="1" xfId="0" applyFont="1" applyBorder="1" applyAlignment="1">
      <alignment horizontal="center" vertical="center"/>
    </xf>
    <xf numFmtId="0" fontId="10" fillId="2" borderId="12" xfId="0" applyFont="1" applyFill="1" applyBorder="1" applyProtection="1">
      <protection locked="0"/>
    </xf>
    <xf numFmtId="0" fontId="10" fillId="0" borderId="0" xfId="0" applyFont="1" applyFill="1"/>
    <xf numFmtId="2" fontId="10" fillId="0" borderId="1" xfId="0" applyNumberFormat="1" applyFont="1" applyFill="1" applyBorder="1"/>
    <xf numFmtId="0" fontId="10" fillId="3" borderId="0" xfId="0" applyFont="1" applyFill="1"/>
    <xf numFmtId="0" fontId="10" fillId="0" borderId="9" xfId="0" applyFont="1" applyBorder="1" applyAlignment="1">
      <alignment horizontal="right"/>
    </xf>
    <xf numFmtId="0" fontId="10" fillId="2" borderId="9" xfId="0" applyFont="1" applyFill="1" applyBorder="1" applyProtection="1">
      <protection locked="0"/>
    </xf>
    <xf numFmtId="0" fontId="14" fillId="7" borderId="12" xfId="0" applyFont="1" applyFill="1" applyBorder="1"/>
    <xf numFmtId="0" fontId="18" fillId="5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6" fillId="7" borderId="11" xfId="0" applyFont="1" applyFill="1" applyBorder="1"/>
    <xf numFmtId="43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/>
    <xf numFmtId="43" fontId="16" fillId="0" borderId="0" xfId="1" applyFont="1" applyFill="1" applyBorder="1"/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Protection="1">
      <protection locked="0"/>
    </xf>
    <xf numFmtId="0" fontId="10" fillId="0" borderId="6" xfId="0" applyFont="1" applyFill="1" applyBorder="1" applyAlignment="1">
      <alignment horizontal="right"/>
    </xf>
    <xf numFmtId="17" fontId="10" fillId="0" borderId="0" xfId="0" applyNumberFormat="1" applyFont="1" applyFill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10" fillId="5" borderId="1" xfId="0" applyFont="1" applyFill="1" applyBorder="1" applyProtection="1">
      <protection locked="0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3" fontId="10" fillId="0" borderId="1" xfId="1" applyNumberFormat="1" applyFont="1" applyFill="1" applyBorder="1"/>
    <xf numFmtId="43" fontId="10" fillId="0" borderId="1" xfId="1" applyFont="1" applyFill="1" applyBorder="1"/>
    <xf numFmtId="0" fontId="10" fillId="0" borderId="11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6" fillId="7" borderId="8" xfId="0" applyFont="1" applyFill="1" applyBorder="1"/>
    <xf numFmtId="0" fontId="21" fillId="7" borderId="4" xfId="0" applyFont="1" applyFill="1" applyBorder="1" applyAlignment="1">
      <alignment horizontal="right"/>
    </xf>
    <xf numFmtId="43" fontId="16" fillId="7" borderId="3" xfId="1" applyFont="1" applyFill="1" applyBorder="1"/>
    <xf numFmtId="0" fontId="18" fillId="5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22" fillId="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28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1" xfId="0" applyFont="1" applyFill="1" applyBorder="1"/>
    <xf numFmtId="43" fontId="28" fillId="0" borderId="1" xfId="0" applyNumberFormat="1" applyFont="1" applyFill="1" applyBorder="1"/>
    <xf numFmtId="43" fontId="28" fillId="0" borderId="1" xfId="0" applyNumberFormat="1" applyFont="1" applyBorder="1"/>
    <xf numFmtId="0" fontId="28" fillId="0" borderId="1" xfId="0" applyFont="1" applyFill="1" applyBorder="1"/>
    <xf numFmtId="0" fontId="28" fillId="0" borderId="1" xfId="0" applyFont="1" applyBorder="1"/>
    <xf numFmtId="0" fontId="4" fillId="8" borderId="1" xfId="0" applyFont="1" applyFill="1" applyBorder="1" applyProtection="1">
      <protection locked="0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3" fontId="4" fillId="0" borderId="1" xfId="0" applyNumberFormat="1" applyFont="1" applyFill="1" applyBorder="1" applyAlignment="1">
      <alignment vertical="center"/>
    </xf>
    <xf numFmtId="0" fontId="28" fillId="0" borderId="13" xfId="0" applyFont="1" applyBorder="1"/>
    <xf numFmtId="43" fontId="30" fillId="0" borderId="1" xfId="0" applyNumberFormat="1" applyFont="1" applyFill="1" applyBorder="1" applyAlignment="1">
      <alignment vertical="center"/>
    </xf>
    <xf numFmtId="0" fontId="28" fillId="0" borderId="11" xfId="0" applyFont="1" applyBorder="1"/>
    <xf numFmtId="43" fontId="4" fillId="0" borderId="1" xfId="0" applyNumberFormat="1" applyFont="1" applyFill="1" applyBorder="1"/>
    <xf numFmtId="0" fontId="14" fillId="7" borderId="2" xfId="0" applyFont="1" applyFill="1" applyBorder="1"/>
    <xf numFmtId="43" fontId="16" fillId="7" borderId="4" xfId="1" applyFont="1" applyFill="1" applyBorder="1"/>
    <xf numFmtId="0" fontId="16" fillId="7" borderId="13" xfId="0" applyFont="1" applyFill="1" applyBorder="1"/>
    <xf numFmtId="0" fontId="14" fillId="7" borderId="4" xfId="0" applyFont="1" applyFill="1" applyBorder="1"/>
    <xf numFmtId="0" fontId="4" fillId="0" borderId="0" xfId="0" applyFont="1" applyFill="1"/>
    <xf numFmtId="187" fontId="16" fillId="0" borderId="0" xfId="1" applyNumberFormat="1" applyFont="1" applyFill="1" applyBorder="1"/>
    <xf numFmtId="0" fontId="20" fillId="0" borderId="0" xfId="0" applyFont="1" applyAlignment="1">
      <alignment horizontal="center"/>
    </xf>
    <xf numFmtId="0" fontId="10" fillId="9" borderId="3" xfId="0" applyFont="1" applyFill="1" applyBorder="1" applyProtection="1">
      <protection locked="0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2" fillId="0" borderId="0" xfId="0" applyNumberFormat="1" applyFont="1" applyFill="1"/>
    <xf numFmtId="0" fontId="33" fillId="0" borderId="0" xfId="0" applyFont="1"/>
    <xf numFmtId="12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2" fontId="19" fillId="6" borderId="1" xfId="0" applyNumberFormat="1" applyFont="1" applyFill="1" applyBorder="1"/>
    <xf numFmtId="2" fontId="18" fillId="6" borderId="1" xfId="0" applyNumberFormat="1" applyFont="1" applyFill="1" applyBorder="1"/>
    <xf numFmtId="0" fontId="16" fillId="0" borderId="9" xfId="0" applyFont="1" applyFill="1" applyBorder="1"/>
    <xf numFmtId="0" fontId="14" fillId="0" borderId="10" xfId="0" applyFont="1" applyFill="1" applyBorder="1"/>
    <xf numFmtId="43" fontId="16" fillId="0" borderId="12" xfId="1" applyFont="1" applyFill="1" applyBorder="1"/>
    <xf numFmtId="0" fontId="2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3" fontId="16" fillId="7" borderId="12" xfId="1" applyNumberFormat="1" applyFont="1" applyFill="1" applyBorder="1"/>
    <xf numFmtId="0" fontId="26" fillId="0" borderId="1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/>
    </xf>
    <xf numFmtId="0" fontId="26" fillId="0" borderId="12" xfId="0" applyFont="1" applyBorder="1"/>
    <xf numFmtId="0" fontId="26" fillId="0" borderId="4" xfId="0" applyFont="1" applyBorder="1"/>
    <xf numFmtId="0" fontId="40" fillId="5" borderId="6" xfId="0" applyFont="1" applyFill="1" applyBorder="1" applyAlignment="1">
      <alignment horizontal="center"/>
    </xf>
    <xf numFmtId="0" fontId="31" fillId="0" borderId="0" xfId="0" applyFont="1" applyFill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8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protection locked="0"/>
    </xf>
    <xf numFmtId="2" fontId="10" fillId="0" borderId="3" xfId="0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5" borderId="1" xfId="0" applyFont="1" applyFill="1" applyBorder="1" applyAlignment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/>
      <protection locked="0"/>
    </xf>
    <xf numFmtId="0" fontId="22" fillId="0" borderId="2" xfId="0" applyFont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vertical="center"/>
      <protection locked="0"/>
    </xf>
    <xf numFmtId="49" fontId="10" fillId="2" borderId="6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40" fillId="5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5" borderId="4" xfId="0" applyFont="1" applyFill="1" applyBorder="1" applyAlignment="1"/>
    <xf numFmtId="0" fontId="18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18" fillId="5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8" fillId="7" borderId="0" xfId="0" applyNumberFormat="1" applyFont="1" applyFill="1" applyAlignment="1" applyProtection="1">
      <protection locked="0"/>
    </xf>
    <xf numFmtId="0" fontId="9" fillId="7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5" fillId="0" borderId="12" xfId="0" applyFont="1" applyBorder="1" applyAlignment="1"/>
    <xf numFmtId="0" fontId="26" fillId="0" borderId="8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18" fillId="5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8" fillId="5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5" borderId="2" xfId="0" applyFont="1" applyFill="1" applyBorder="1" applyAlignment="1"/>
    <xf numFmtId="0" fontId="5" fillId="5" borderId="5" xfId="0" applyFont="1" applyFill="1" applyBorder="1" applyAlignment="1"/>
    <xf numFmtId="0" fontId="26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3" fontId="28" fillId="0" borderId="3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4" fillId="6" borderId="1" xfId="0" applyFont="1" applyFill="1" applyBorder="1" applyAlignment="1">
      <alignment vertical="center"/>
    </xf>
    <xf numFmtId="0" fontId="28" fillId="0" borderId="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1" xfId="0" applyFont="1" applyBorder="1" applyAlignment="1">
      <alignment vertical="center"/>
    </xf>
    <xf numFmtId="43" fontId="28" fillId="0" borderId="3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5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28" fillId="0" borderId="6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28" fillId="0" borderId="0" xfId="0" applyFont="1" applyBorder="1" applyAlignment="1"/>
    <xf numFmtId="0" fontId="28" fillId="0" borderId="15" xfId="0" applyFont="1" applyBorder="1" applyAlignment="1"/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8" fillId="0" borderId="5" xfId="0" applyFont="1" applyBorder="1" applyAlignment="1"/>
    <xf numFmtId="0" fontId="28" fillId="0" borderId="7" xfId="0" applyFont="1" applyBorder="1" applyAlignment="1"/>
    <xf numFmtId="0" fontId="28" fillId="0" borderId="8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4" fillId="6" borderId="12" xfId="0" applyFont="1" applyFill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28" fillId="0" borderId="1" xfId="0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0</xdr:row>
      <xdr:rowOff>122335</xdr:rowOff>
    </xdr:from>
    <xdr:to>
      <xdr:col>1</xdr:col>
      <xdr:colOff>234460</xdr:colOff>
      <xdr:row>6</xdr:row>
      <xdr:rowOff>5617</xdr:rowOff>
    </xdr:to>
    <xdr:pic>
      <xdr:nvPicPr>
        <xdr:cNvPr id="2" name="Picture 13" descr="SRIVICHAI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537" y="122335"/>
          <a:ext cx="849923" cy="15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opLeftCell="A82" zoomScale="130" zoomScaleNormal="130" workbookViewId="0">
      <selection activeCell="B37" sqref="B37"/>
    </sheetView>
  </sheetViews>
  <sheetFormatPr defaultRowHeight="15.75"/>
  <cols>
    <col min="1" max="1" width="11.42578125" style="14" customWidth="1"/>
    <col min="2" max="2" width="20" style="14" customWidth="1"/>
    <col min="3" max="3" width="19.140625" style="14" customWidth="1"/>
    <col min="4" max="4" width="20" style="14" customWidth="1"/>
    <col min="5" max="5" width="9.140625" style="14"/>
    <col min="6" max="6" width="8.42578125" style="14" customWidth="1"/>
    <col min="7" max="7" width="11" style="14" customWidth="1"/>
    <col min="8" max="9" width="9.140625" style="14"/>
    <col min="10" max="10" width="13.5703125" style="14" bestFit="1" customWidth="1"/>
    <col min="11" max="16384" width="9.140625" style="14"/>
  </cols>
  <sheetData>
    <row r="1" spans="1:10" s="2" customFormat="1" ht="21.95" customHeight="1">
      <c r="A1" s="265" t="s">
        <v>282</v>
      </c>
      <c r="B1" s="265"/>
      <c r="C1" s="265"/>
      <c r="D1" s="265"/>
      <c r="E1" s="265"/>
      <c r="F1" s="265"/>
      <c r="G1" s="265"/>
    </row>
    <row r="2" spans="1:10" s="2" customFormat="1" ht="21.95" customHeight="1">
      <c r="A2" s="265" t="s">
        <v>0</v>
      </c>
      <c r="B2" s="265"/>
      <c r="C2" s="265"/>
      <c r="D2" s="265"/>
      <c r="E2" s="265"/>
      <c r="F2" s="265"/>
      <c r="G2" s="265"/>
    </row>
    <row r="3" spans="1:10" s="2" customFormat="1" ht="21.95" customHeight="1">
      <c r="A3" s="2" t="s">
        <v>143</v>
      </c>
      <c r="C3" s="3">
        <v>1</v>
      </c>
      <c r="D3" s="1" t="s">
        <v>144</v>
      </c>
      <c r="E3" s="4">
        <v>2560</v>
      </c>
      <c r="G3" s="5" t="s">
        <v>279</v>
      </c>
    </row>
    <row r="4" spans="1:10" s="2" customFormat="1" ht="21.95" customHeight="1">
      <c r="A4" s="264" t="s">
        <v>368</v>
      </c>
      <c r="B4" s="264"/>
      <c r="C4" s="264"/>
      <c r="D4" s="264"/>
      <c r="E4" s="264"/>
      <c r="F4" s="264"/>
      <c r="G4" s="264"/>
    </row>
    <row r="5" spans="1:10" s="2" customFormat="1" ht="21.95" customHeight="1">
      <c r="B5" s="2" t="s">
        <v>21</v>
      </c>
      <c r="C5" s="268"/>
      <c r="D5" s="269"/>
      <c r="E5" s="6">
        <f>+G44+G66+G91+G108+G116+G122+G130+G137+G151+G157</f>
        <v>0</v>
      </c>
      <c r="F5" s="7">
        <f>+G169+G175+G185+G197+G207+G215</f>
        <v>0</v>
      </c>
      <c r="G5" s="8">
        <f>+G222+G227+G244+G256+G275</f>
        <v>0</v>
      </c>
    </row>
    <row r="6" spans="1:10" s="9" customFormat="1" ht="21.95" customHeight="1">
      <c r="B6" s="10" t="s">
        <v>1</v>
      </c>
      <c r="C6" s="270"/>
      <c r="D6" s="269"/>
      <c r="E6" s="7">
        <f>+G285+G286+G287+G289</f>
        <v>0</v>
      </c>
      <c r="F6" s="7">
        <f>+G302+G310+G317+G342</f>
        <v>0</v>
      </c>
    </row>
    <row r="7" spans="1:10" s="9" customFormat="1" ht="21.95" customHeight="1">
      <c r="A7" s="11" t="s">
        <v>199</v>
      </c>
      <c r="C7" s="12"/>
      <c r="D7" s="13" t="s">
        <v>205</v>
      </c>
      <c r="E7" s="266">
        <f>+E5+F5+G5+E6+F6</f>
        <v>0</v>
      </c>
      <c r="F7" s="267"/>
      <c r="G7" s="267"/>
      <c r="J7" s="13"/>
    </row>
    <row r="8" spans="1:10" ht="21">
      <c r="B8" s="11" t="s">
        <v>198</v>
      </c>
      <c r="C8" s="12"/>
      <c r="D8" s="15"/>
      <c r="E8" s="271" t="s">
        <v>372</v>
      </c>
      <c r="F8" s="271"/>
      <c r="G8" s="271"/>
    </row>
    <row r="9" spans="1:10" ht="21">
      <c r="A9" s="17" t="s">
        <v>142</v>
      </c>
      <c r="C9" s="173"/>
      <c r="D9" s="172"/>
      <c r="E9" s="16"/>
      <c r="F9" s="16"/>
      <c r="G9" s="16"/>
    </row>
    <row r="10" spans="1:10" ht="18.75">
      <c r="A10" s="18" t="s">
        <v>248</v>
      </c>
      <c r="B10" s="19"/>
      <c r="D10" s="20"/>
      <c r="F10" s="21" t="s">
        <v>22</v>
      </c>
      <c r="G10" s="22"/>
    </row>
    <row r="11" spans="1:10" ht="18.75">
      <c r="A11" s="13" t="s">
        <v>324</v>
      </c>
    </row>
    <row r="12" spans="1:10">
      <c r="A12" s="203" t="s">
        <v>2</v>
      </c>
      <c r="B12" s="203" t="s">
        <v>3</v>
      </c>
      <c r="C12" s="203" t="s">
        <v>4</v>
      </c>
      <c r="D12" s="203" t="s">
        <v>5</v>
      </c>
      <c r="E12" s="23" t="s">
        <v>10</v>
      </c>
      <c r="F12" s="24" t="s">
        <v>8</v>
      </c>
      <c r="G12" s="25" t="s">
        <v>6</v>
      </c>
    </row>
    <row r="13" spans="1:10">
      <c r="A13" s="204"/>
      <c r="B13" s="204"/>
      <c r="C13" s="204"/>
      <c r="D13" s="204"/>
      <c r="E13" s="26" t="s">
        <v>9</v>
      </c>
      <c r="F13" s="27" t="s">
        <v>213</v>
      </c>
      <c r="G13" s="28" t="s">
        <v>7</v>
      </c>
    </row>
    <row r="14" spans="1:10">
      <c r="A14" s="221"/>
      <c r="B14" s="225"/>
      <c r="C14" s="29" t="s">
        <v>11</v>
      </c>
      <c r="D14" s="182" t="s">
        <v>16</v>
      </c>
      <c r="E14" s="30"/>
      <c r="F14" s="31"/>
      <c r="G14" s="81">
        <f>0.61*F14</f>
        <v>0</v>
      </c>
      <c r="I14" s="33"/>
    </row>
    <row r="15" spans="1:10">
      <c r="A15" s="223"/>
      <c r="B15" s="223"/>
      <c r="C15" s="29" t="s">
        <v>12</v>
      </c>
      <c r="D15" s="182" t="s">
        <v>14</v>
      </c>
      <c r="E15" s="32"/>
      <c r="F15" s="32"/>
      <c r="G15" s="81">
        <f>1*F14</f>
        <v>0</v>
      </c>
    </row>
    <row r="16" spans="1:10">
      <c r="A16" s="223"/>
      <c r="B16" s="223"/>
      <c r="C16" s="34" t="s">
        <v>271</v>
      </c>
      <c r="D16" s="168"/>
      <c r="E16" s="35"/>
      <c r="F16" s="32"/>
      <c r="G16" s="81">
        <f>+(D16-F14)</f>
        <v>0</v>
      </c>
      <c r="H16" s="80"/>
    </row>
    <row r="17" spans="1:7">
      <c r="A17" s="223"/>
      <c r="B17" s="223"/>
      <c r="C17" s="34" t="s">
        <v>13</v>
      </c>
      <c r="D17" s="34" t="s">
        <v>15</v>
      </c>
      <c r="E17" s="35"/>
      <c r="F17" s="32"/>
      <c r="G17" s="81">
        <f>0.013*F14*E14</f>
        <v>0</v>
      </c>
    </row>
    <row r="18" spans="1:7">
      <c r="A18" s="224"/>
      <c r="B18" s="224"/>
      <c r="C18" s="29" t="s">
        <v>235</v>
      </c>
      <c r="D18" s="30">
        <v>100</v>
      </c>
      <c r="E18" s="36"/>
      <c r="F18" s="32"/>
      <c r="G18" s="32"/>
    </row>
    <row r="19" spans="1:7">
      <c r="A19" s="37"/>
      <c r="B19" s="38"/>
      <c r="C19" s="38"/>
      <c r="D19" s="39" t="s">
        <v>17</v>
      </c>
      <c r="E19" s="40">
        <f>SUM(E14)</f>
        <v>0</v>
      </c>
      <c r="F19" s="40">
        <f>SUM(F14)</f>
        <v>0</v>
      </c>
      <c r="G19" s="176">
        <f>+(G14+G15+G16+G17)/(100/D18)</f>
        <v>0</v>
      </c>
    </row>
    <row r="20" spans="1:7" s="41" customFormat="1">
      <c r="A20" s="221"/>
      <c r="B20" s="225"/>
      <c r="C20" s="29" t="s">
        <v>11</v>
      </c>
      <c r="D20" s="29" t="s">
        <v>16</v>
      </c>
      <c r="E20" s="30"/>
      <c r="F20" s="30"/>
      <c r="G20" s="81">
        <f>0.61*F20</f>
        <v>0</v>
      </c>
    </row>
    <row r="21" spans="1:7" s="41" customFormat="1">
      <c r="A21" s="223"/>
      <c r="B21" s="223"/>
      <c r="C21" s="29" t="s">
        <v>12</v>
      </c>
      <c r="D21" s="29" t="s">
        <v>14</v>
      </c>
      <c r="E21" s="32"/>
      <c r="F21" s="32"/>
      <c r="G21" s="81">
        <f>1*F20</f>
        <v>0</v>
      </c>
    </row>
    <row r="22" spans="1:7" s="41" customFormat="1">
      <c r="A22" s="223"/>
      <c r="B22" s="223"/>
      <c r="C22" s="34" t="s">
        <v>271</v>
      </c>
      <c r="D22" s="168"/>
      <c r="E22" s="35"/>
      <c r="F22" s="32"/>
      <c r="G22" s="81">
        <f>+(D22-F20)</f>
        <v>0</v>
      </c>
    </row>
    <row r="23" spans="1:7" s="41" customFormat="1">
      <c r="A23" s="223"/>
      <c r="B23" s="223"/>
      <c r="C23" s="34" t="s">
        <v>13</v>
      </c>
      <c r="D23" s="34" t="s">
        <v>15</v>
      </c>
      <c r="E23" s="35"/>
      <c r="F23" s="32"/>
      <c r="G23" s="81">
        <f>0.013*F20*E20</f>
        <v>0</v>
      </c>
    </row>
    <row r="24" spans="1:7" s="41" customFormat="1">
      <c r="A24" s="224"/>
      <c r="B24" s="224"/>
      <c r="C24" s="87" t="s">
        <v>235</v>
      </c>
      <c r="D24" s="30">
        <v>100</v>
      </c>
      <c r="E24" s="36"/>
      <c r="F24" s="32"/>
      <c r="G24" s="81"/>
    </row>
    <row r="25" spans="1:7" s="41" customFormat="1">
      <c r="A25" s="37"/>
      <c r="B25" s="38"/>
      <c r="C25" s="38"/>
      <c r="D25" s="39" t="s">
        <v>17</v>
      </c>
      <c r="E25" s="40">
        <f>SUM(E20)</f>
        <v>0</v>
      </c>
      <c r="F25" s="40">
        <f>SUM(F20)</f>
        <v>0</v>
      </c>
      <c r="G25" s="176">
        <f>+(G20+G21+G22+G23)/(100/D24)</f>
        <v>0</v>
      </c>
    </row>
    <row r="26" spans="1:7" s="41" customFormat="1">
      <c r="A26" s="221"/>
      <c r="B26" s="225"/>
      <c r="C26" s="29" t="s">
        <v>11</v>
      </c>
      <c r="D26" s="29" t="s">
        <v>16</v>
      </c>
      <c r="E26" s="30"/>
      <c r="F26" s="30"/>
      <c r="G26" s="81">
        <f>0.61*F26</f>
        <v>0</v>
      </c>
    </row>
    <row r="27" spans="1:7" s="41" customFormat="1">
      <c r="A27" s="223"/>
      <c r="B27" s="223"/>
      <c r="C27" s="29" t="s">
        <v>12</v>
      </c>
      <c r="D27" s="29" t="s">
        <v>14</v>
      </c>
      <c r="E27" s="32"/>
      <c r="F27" s="32"/>
      <c r="G27" s="81">
        <f>1*F26</f>
        <v>0</v>
      </c>
    </row>
    <row r="28" spans="1:7" s="41" customFormat="1">
      <c r="A28" s="223"/>
      <c r="B28" s="223"/>
      <c r="C28" s="34" t="s">
        <v>271</v>
      </c>
      <c r="D28" s="168"/>
      <c r="E28" s="35"/>
      <c r="F28" s="32"/>
      <c r="G28" s="81">
        <f>+(D28-F26)</f>
        <v>0</v>
      </c>
    </row>
    <row r="29" spans="1:7" s="41" customFormat="1">
      <c r="A29" s="223"/>
      <c r="B29" s="223"/>
      <c r="C29" s="34" t="s">
        <v>13</v>
      </c>
      <c r="D29" s="34" t="s">
        <v>15</v>
      </c>
      <c r="E29" s="35"/>
      <c r="F29" s="32"/>
      <c r="G29" s="81">
        <f>0.013*F26*E26</f>
        <v>0</v>
      </c>
    </row>
    <row r="30" spans="1:7" s="41" customFormat="1">
      <c r="A30" s="224"/>
      <c r="B30" s="224"/>
      <c r="C30" s="87" t="s">
        <v>235</v>
      </c>
      <c r="D30" s="30">
        <v>100</v>
      </c>
      <c r="E30" s="36"/>
      <c r="F30" s="32"/>
      <c r="G30" s="81"/>
    </row>
    <row r="31" spans="1:7" s="41" customFormat="1">
      <c r="A31" s="37"/>
      <c r="B31" s="38"/>
      <c r="C31" s="38"/>
      <c r="D31" s="39" t="s">
        <v>17</v>
      </c>
      <c r="E31" s="40">
        <f>SUM(E26)</f>
        <v>0</v>
      </c>
      <c r="F31" s="40">
        <f>SUM(F26)</f>
        <v>0</v>
      </c>
      <c r="G31" s="176">
        <f>+(G26+G27+G28+G29)/(100/D30)</f>
        <v>0</v>
      </c>
    </row>
    <row r="32" spans="1:7" s="41" customFormat="1">
      <c r="A32" s="221"/>
      <c r="B32" s="225"/>
      <c r="C32" s="29" t="s">
        <v>11</v>
      </c>
      <c r="D32" s="29" t="s">
        <v>16</v>
      </c>
      <c r="E32" s="30"/>
      <c r="F32" s="30"/>
      <c r="G32" s="81">
        <f>0.61*F32</f>
        <v>0</v>
      </c>
    </row>
    <row r="33" spans="1:7" s="41" customFormat="1">
      <c r="A33" s="223"/>
      <c r="B33" s="223"/>
      <c r="C33" s="29" t="s">
        <v>12</v>
      </c>
      <c r="D33" s="29" t="s">
        <v>14</v>
      </c>
      <c r="E33" s="32"/>
      <c r="F33" s="32"/>
      <c r="G33" s="81">
        <f>1*F32</f>
        <v>0</v>
      </c>
    </row>
    <row r="34" spans="1:7" s="41" customFormat="1">
      <c r="A34" s="223"/>
      <c r="B34" s="223"/>
      <c r="C34" s="34" t="s">
        <v>271</v>
      </c>
      <c r="D34" s="168"/>
      <c r="E34" s="35"/>
      <c r="F34" s="32"/>
      <c r="G34" s="81">
        <f>+(D34-F32)</f>
        <v>0</v>
      </c>
    </row>
    <row r="35" spans="1:7" s="41" customFormat="1">
      <c r="A35" s="223"/>
      <c r="B35" s="223"/>
      <c r="C35" s="34" t="s">
        <v>13</v>
      </c>
      <c r="D35" s="34" t="s">
        <v>15</v>
      </c>
      <c r="E35" s="35"/>
      <c r="F35" s="32"/>
      <c r="G35" s="81">
        <f>0.013*F32*E32</f>
        <v>0</v>
      </c>
    </row>
    <row r="36" spans="1:7" s="41" customFormat="1">
      <c r="A36" s="224"/>
      <c r="B36" s="224"/>
      <c r="C36" s="87" t="s">
        <v>235</v>
      </c>
      <c r="D36" s="30">
        <v>100</v>
      </c>
      <c r="E36" s="36"/>
      <c r="F36" s="32"/>
      <c r="G36" s="81"/>
    </row>
    <row r="37" spans="1:7" s="41" customFormat="1">
      <c r="A37" s="37"/>
      <c r="B37" s="38"/>
      <c r="C37" s="38"/>
      <c r="D37" s="39" t="s">
        <v>17</v>
      </c>
      <c r="E37" s="40">
        <f>SUM(E32)</f>
        <v>0</v>
      </c>
      <c r="F37" s="40">
        <f>SUM(F32)</f>
        <v>0</v>
      </c>
      <c r="G37" s="176">
        <f>+(G32+G33+G34+G35)/(100/D36)</f>
        <v>0</v>
      </c>
    </row>
    <row r="38" spans="1:7" s="41" customFormat="1">
      <c r="A38" s="221"/>
      <c r="B38" s="225"/>
      <c r="C38" s="29" t="s">
        <v>11</v>
      </c>
      <c r="D38" s="29" t="s">
        <v>16</v>
      </c>
      <c r="E38" s="30"/>
      <c r="F38" s="30"/>
      <c r="G38" s="81">
        <f>0.61*F38</f>
        <v>0</v>
      </c>
    </row>
    <row r="39" spans="1:7" s="41" customFormat="1">
      <c r="A39" s="223"/>
      <c r="B39" s="223"/>
      <c r="C39" s="29" t="s">
        <v>12</v>
      </c>
      <c r="D39" s="29" t="s">
        <v>14</v>
      </c>
      <c r="E39" s="32"/>
      <c r="F39" s="32"/>
      <c r="G39" s="81">
        <f>1*F38</f>
        <v>0</v>
      </c>
    </row>
    <row r="40" spans="1:7" s="41" customFormat="1">
      <c r="A40" s="223"/>
      <c r="B40" s="223"/>
      <c r="C40" s="34" t="s">
        <v>271</v>
      </c>
      <c r="D40" s="168"/>
      <c r="E40" s="35"/>
      <c r="F40" s="32"/>
      <c r="G40" s="81">
        <f>+(D40-F38)</f>
        <v>0</v>
      </c>
    </row>
    <row r="41" spans="1:7" s="41" customFormat="1">
      <c r="A41" s="223"/>
      <c r="B41" s="223"/>
      <c r="C41" s="34" t="s">
        <v>13</v>
      </c>
      <c r="D41" s="34" t="s">
        <v>15</v>
      </c>
      <c r="E41" s="35"/>
      <c r="F41" s="32"/>
      <c r="G41" s="81">
        <f>0.013*F38*E38</f>
        <v>0</v>
      </c>
    </row>
    <row r="42" spans="1:7" s="41" customFormat="1">
      <c r="A42" s="224"/>
      <c r="B42" s="224"/>
      <c r="C42" s="87" t="s">
        <v>235</v>
      </c>
      <c r="D42" s="30">
        <v>100</v>
      </c>
      <c r="E42" s="36"/>
      <c r="F42" s="32"/>
      <c r="G42" s="81"/>
    </row>
    <row r="43" spans="1:7" s="41" customFormat="1">
      <c r="A43" s="42"/>
      <c r="B43" s="43"/>
      <c r="C43" s="43"/>
      <c r="D43" s="39" t="s">
        <v>17</v>
      </c>
      <c r="E43" s="44">
        <f>+E38</f>
        <v>0</v>
      </c>
      <c r="F43" s="44">
        <f>+F38</f>
        <v>0</v>
      </c>
      <c r="G43" s="176">
        <f>+(G38+G39+G40+G41)/(100/D42)</f>
        <v>0</v>
      </c>
    </row>
    <row r="44" spans="1:7" ht="18.75">
      <c r="B44" s="197">
        <f>+C6</f>
        <v>0</v>
      </c>
      <c r="C44" s="45"/>
      <c r="D44" s="46" t="s">
        <v>238</v>
      </c>
      <c r="E44" s="47">
        <f>+E19+E25+E31+E37+E43</f>
        <v>0</v>
      </c>
      <c r="F44" s="47">
        <f>+F19+F25+F31+F37+F43</f>
        <v>0</v>
      </c>
      <c r="G44" s="48">
        <f>+G19+G25+G31+G37+G43</f>
        <v>0</v>
      </c>
    </row>
    <row r="45" spans="1:7" s="80" customFormat="1" ht="18.75">
      <c r="C45" s="45"/>
      <c r="D45" s="127"/>
      <c r="E45" s="119"/>
      <c r="F45" s="119"/>
      <c r="G45" s="128"/>
    </row>
    <row r="46" spans="1:7" s="80" customFormat="1" ht="18.75">
      <c r="C46" s="45"/>
      <c r="D46" s="127"/>
      <c r="E46" s="119"/>
      <c r="F46" s="119"/>
      <c r="G46" s="128"/>
    </row>
    <row r="47" spans="1:7" ht="18.75">
      <c r="A47" s="13" t="s">
        <v>325</v>
      </c>
      <c r="G47" s="5" t="s">
        <v>278</v>
      </c>
    </row>
    <row r="48" spans="1:7">
      <c r="A48" s="49" t="s">
        <v>2</v>
      </c>
      <c r="B48" s="24" t="s">
        <v>3</v>
      </c>
      <c r="C48" s="23" t="s">
        <v>4</v>
      </c>
      <c r="D48" s="24" t="s">
        <v>5</v>
      </c>
      <c r="E48" s="23" t="s">
        <v>10</v>
      </c>
      <c r="F48" s="24" t="s">
        <v>10</v>
      </c>
      <c r="G48" s="25" t="s">
        <v>6</v>
      </c>
    </row>
    <row r="49" spans="1:7">
      <c r="A49" s="50"/>
      <c r="B49" s="51"/>
      <c r="C49" s="52"/>
      <c r="D49" s="51"/>
      <c r="E49" s="26" t="s">
        <v>9</v>
      </c>
      <c r="F49" s="27" t="s">
        <v>19</v>
      </c>
      <c r="G49" s="28" t="s">
        <v>7</v>
      </c>
    </row>
    <row r="50" spans="1:7">
      <c r="A50" s="221"/>
      <c r="B50" s="225"/>
      <c r="C50" s="231" t="s">
        <v>321</v>
      </c>
      <c r="D50" s="189" t="s">
        <v>322</v>
      </c>
      <c r="E50" s="55" t="s">
        <v>20</v>
      </c>
      <c r="F50" s="30"/>
      <c r="G50" s="81">
        <f>F50</f>
        <v>0</v>
      </c>
    </row>
    <row r="51" spans="1:7">
      <c r="A51" s="223"/>
      <c r="B51" s="223"/>
      <c r="C51" s="232"/>
      <c r="D51" s="190" t="s">
        <v>323</v>
      </c>
      <c r="E51" s="30"/>
      <c r="F51" s="32"/>
      <c r="G51" s="81">
        <f>0.067*E51</f>
        <v>0</v>
      </c>
    </row>
    <row r="52" spans="1:7">
      <c r="A52" s="224"/>
      <c r="B52" s="224"/>
      <c r="C52" s="87" t="s">
        <v>235</v>
      </c>
      <c r="D52" s="30">
        <v>100</v>
      </c>
      <c r="E52" s="56"/>
      <c r="F52" s="32"/>
      <c r="G52" s="81"/>
    </row>
    <row r="53" spans="1:7">
      <c r="A53" s="42"/>
      <c r="B53" s="43"/>
      <c r="C53" s="43"/>
      <c r="D53" s="43"/>
      <c r="E53" s="54"/>
      <c r="F53" s="57" t="s">
        <v>17</v>
      </c>
      <c r="G53" s="177">
        <f>+(G50+G51)/(100/D52)</f>
        <v>0</v>
      </c>
    </row>
    <row r="54" spans="1:7" s="41" customFormat="1">
      <c r="A54" s="221"/>
      <c r="B54" s="225"/>
      <c r="C54" s="231" t="s">
        <v>321</v>
      </c>
      <c r="D54" s="189" t="s">
        <v>322</v>
      </c>
      <c r="E54" s="55" t="s">
        <v>20</v>
      </c>
      <c r="F54" s="30"/>
      <c r="G54" s="81">
        <f>F54</f>
        <v>0</v>
      </c>
    </row>
    <row r="55" spans="1:7" s="41" customFormat="1">
      <c r="A55" s="223"/>
      <c r="B55" s="223"/>
      <c r="C55" s="232"/>
      <c r="D55" s="190" t="s">
        <v>323</v>
      </c>
      <c r="E55" s="30"/>
      <c r="F55" s="32"/>
      <c r="G55" s="81">
        <f>0.067*E55</f>
        <v>0</v>
      </c>
    </row>
    <row r="56" spans="1:7" s="41" customFormat="1">
      <c r="A56" s="224"/>
      <c r="B56" s="224"/>
      <c r="C56" s="87" t="s">
        <v>235</v>
      </c>
      <c r="D56" s="30">
        <v>100</v>
      </c>
      <c r="E56" s="56"/>
      <c r="F56" s="32"/>
      <c r="G56" s="81"/>
    </row>
    <row r="57" spans="1:7" s="41" customFormat="1">
      <c r="A57" s="42"/>
      <c r="B57" s="43"/>
      <c r="C57" s="43"/>
      <c r="D57" s="43"/>
      <c r="E57" s="54"/>
      <c r="F57" s="57" t="s">
        <v>17</v>
      </c>
      <c r="G57" s="177">
        <f>+(G54+G55)/(100/D56)</f>
        <v>0</v>
      </c>
    </row>
    <row r="58" spans="1:7" s="41" customFormat="1">
      <c r="A58" s="221"/>
      <c r="B58" s="225"/>
      <c r="C58" s="231" t="s">
        <v>321</v>
      </c>
      <c r="D58" s="189" t="s">
        <v>322</v>
      </c>
      <c r="E58" s="55" t="s">
        <v>20</v>
      </c>
      <c r="F58" s="30"/>
      <c r="G58" s="81">
        <f>F58</f>
        <v>0</v>
      </c>
    </row>
    <row r="59" spans="1:7" s="41" customFormat="1">
      <c r="A59" s="223"/>
      <c r="B59" s="223"/>
      <c r="C59" s="232"/>
      <c r="D59" s="190" t="s">
        <v>323</v>
      </c>
      <c r="E59" s="30"/>
      <c r="F59" s="32"/>
      <c r="G59" s="81">
        <f>0.067*E59</f>
        <v>0</v>
      </c>
    </row>
    <row r="60" spans="1:7" s="41" customFormat="1">
      <c r="A60" s="224"/>
      <c r="B60" s="224"/>
      <c r="C60" s="87" t="s">
        <v>235</v>
      </c>
      <c r="D60" s="30">
        <v>100</v>
      </c>
      <c r="E60" s="56"/>
      <c r="F60" s="32"/>
      <c r="G60" s="81"/>
    </row>
    <row r="61" spans="1:7" s="41" customFormat="1">
      <c r="A61" s="42"/>
      <c r="B61" s="43"/>
      <c r="C61" s="43"/>
      <c r="D61" s="43"/>
      <c r="E61" s="54"/>
      <c r="F61" s="57" t="s">
        <v>17</v>
      </c>
      <c r="G61" s="177">
        <f>+(G58+G59)/(100/D60)</f>
        <v>0</v>
      </c>
    </row>
    <row r="62" spans="1:7" s="41" customFormat="1">
      <c r="A62" s="221"/>
      <c r="B62" s="225"/>
      <c r="C62" s="231" t="s">
        <v>321</v>
      </c>
      <c r="D62" s="189" t="s">
        <v>322</v>
      </c>
      <c r="E62" s="55" t="s">
        <v>20</v>
      </c>
      <c r="F62" s="30"/>
      <c r="G62" s="81">
        <f>F62</f>
        <v>0</v>
      </c>
    </row>
    <row r="63" spans="1:7" s="41" customFormat="1">
      <c r="A63" s="291"/>
      <c r="B63" s="233"/>
      <c r="C63" s="289"/>
      <c r="D63" s="190" t="s">
        <v>323</v>
      </c>
      <c r="E63" s="30"/>
      <c r="F63" s="32"/>
      <c r="G63" s="81">
        <f>0.067*E63</f>
        <v>0</v>
      </c>
    </row>
    <row r="64" spans="1:7" s="41" customFormat="1">
      <c r="A64" s="292"/>
      <c r="B64" s="234"/>
      <c r="C64" s="87" t="s">
        <v>235</v>
      </c>
      <c r="D64" s="30">
        <v>100</v>
      </c>
      <c r="E64" s="56"/>
      <c r="F64" s="32"/>
      <c r="G64" s="81"/>
    </row>
    <row r="65" spans="1:9" s="41" customFormat="1">
      <c r="A65" s="42"/>
      <c r="B65" s="43"/>
      <c r="C65" s="43"/>
      <c r="D65" s="43"/>
      <c r="E65" s="54"/>
      <c r="F65" s="57" t="s">
        <v>17</v>
      </c>
      <c r="G65" s="177">
        <f>+(G62+G63)/(100/D64)</f>
        <v>0</v>
      </c>
    </row>
    <row r="66" spans="1:9" s="41" customFormat="1" ht="18.75">
      <c r="E66" s="58" t="s">
        <v>197</v>
      </c>
      <c r="F66" s="59"/>
      <c r="G66" s="60">
        <f>+G53+G57+G61+G65</f>
        <v>0</v>
      </c>
    </row>
    <row r="67" spans="1:9" s="41" customFormat="1" ht="18.75">
      <c r="E67" s="94"/>
      <c r="F67" s="119"/>
      <c r="G67" s="95"/>
    </row>
    <row r="68" spans="1:9" ht="18.75">
      <c r="A68" s="13" t="s">
        <v>326</v>
      </c>
    </row>
    <row r="69" spans="1:9">
      <c r="A69" s="203" t="s">
        <v>2</v>
      </c>
      <c r="B69" s="203" t="s">
        <v>3</v>
      </c>
      <c r="C69" s="203" t="s">
        <v>4</v>
      </c>
      <c r="D69" s="203" t="s">
        <v>5</v>
      </c>
      <c r="E69" s="23" t="s">
        <v>10</v>
      </c>
      <c r="F69" s="24" t="s">
        <v>8</v>
      </c>
      <c r="G69" s="25" t="s">
        <v>6</v>
      </c>
    </row>
    <row r="70" spans="1:9">
      <c r="A70" s="204"/>
      <c r="B70" s="204"/>
      <c r="C70" s="204"/>
      <c r="D70" s="204"/>
      <c r="E70" s="26" t="s">
        <v>9</v>
      </c>
      <c r="F70" s="27" t="s">
        <v>213</v>
      </c>
      <c r="G70" s="28" t="s">
        <v>7</v>
      </c>
    </row>
    <row r="71" spans="1:9">
      <c r="A71" s="221"/>
      <c r="B71" s="225"/>
      <c r="C71" s="29" t="s">
        <v>11</v>
      </c>
      <c r="D71" s="29" t="s">
        <v>244</v>
      </c>
      <c r="E71" s="30"/>
      <c r="F71" s="31"/>
      <c r="G71" s="81">
        <f>1*F71</f>
        <v>0</v>
      </c>
      <c r="I71" s="33"/>
    </row>
    <row r="72" spans="1:9">
      <c r="A72" s="223"/>
      <c r="B72" s="223"/>
      <c r="C72" s="29" t="s">
        <v>12</v>
      </c>
      <c r="D72" s="29" t="s">
        <v>14</v>
      </c>
      <c r="E72" s="32"/>
      <c r="F72" s="32"/>
      <c r="G72" s="81">
        <f>1*F71</f>
        <v>0</v>
      </c>
    </row>
    <row r="73" spans="1:9">
      <c r="A73" s="223"/>
      <c r="B73" s="223"/>
      <c r="C73" s="34" t="s">
        <v>13</v>
      </c>
      <c r="D73" s="34" t="s">
        <v>245</v>
      </c>
      <c r="E73" s="35"/>
      <c r="F73" s="32"/>
      <c r="G73" s="81">
        <f>0.1*F71*E71</f>
        <v>0</v>
      </c>
    </row>
    <row r="74" spans="1:9">
      <c r="A74" s="224"/>
      <c r="B74" s="224"/>
      <c r="C74" s="87" t="s">
        <v>235</v>
      </c>
      <c r="D74" s="30">
        <v>100</v>
      </c>
      <c r="E74" s="36"/>
      <c r="F74" s="32"/>
      <c r="G74" s="81"/>
    </row>
    <row r="75" spans="1:9">
      <c r="A75" s="37"/>
      <c r="B75" s="38"/>
      <c r="C75" s="38"/>
      <c r="D75" s="39" t="s">
        <v>17</v>
      </c>
      <c r="E75" s="40">
        <f>SUM(E71)</f>
        <v>0</v>
      </c>
      <c r="F75" s="40">
        <f>SUM(F71)</f>
        <v>0</v>
      </c>
      <c r="G75" s="176">
        <f>+(G71+G72+G73)/(100/D74)</f>
        <v>0</v>
      </c>
    </row>
    <row r="76" spans="1:9" s="41" customFormat="1">
      <c r="A76" s="221"/>
      <c r="B76" s="225"/>
      <c r="C76" s="29" t="s">
        <v>11</v>
      </c>
      <c r="D76" s="29" t="s">
        <v>244</v>
      </c>
      <c r="E76" s="30"/>
      <c r="F76" s="30"/>
      <c r="G76" s="81">
        <f>1*F76</f>
        <v>0</v>
      </c>
    </row>
    <row r="77" spans="1:9" s="41" customFormat="1">
      <c r="A77" s="223"/>
      <c r="B77" s="223"/>
      <c r="C77" s="29" t="s">
        <v>12</v>
      </c>
      <c r="D77" s="29" t="s">
        <v>14</v>
      </c>
      <c r="E77" s="32"/>
      <c r="F77" s="32"/>
      <c r="G77" s="81">
        <f>1*F76</f>
        <v>0</v>
      </c>
    </row>
    <row r="78" spans="1:9" s="41" customFormat="1">
      <c r="A78" s="223"/>
      <c r="B78" s="223"/>
      <c r="C78" s="34" t="s">
        <v>13</v>
      </c>
      <c r="D78" s="34" t="s">
        <v>245</v>
      </c>
      <c r="E78" s="35"/>
      <c r="F78" s="32"/>
      <c r="G78" s="81">
        <f>0.1*F76*E76</f>
        <v>0</v>
      </c>
    </row>
    <row r="79" spans="1:9" s="41" customFormat="1">
      <c r="A79" s="224"/>
      <c r="B79" s="224"/>
      <c r="C79" s="87" t="s">
        <v>235</v>
      </c>
      <c r="D79" s="30">
        <v>100</v>
      </c>
      <c r="E79" s="36"/>
      <c r="F79" s="32"/>
      <c r="G79" s="81"/>
    </row>
    <row r="80" spans="1:9" s="41" customFormat="1">
      <c r="A80" s="42"/>
      <c r="B80" s="43"/>
      <c r="C80" s="43"/>
      <c r="D80" s="39" t="s">
        <v>17</v>
      </c>
      <c r="E80" s="44">
        <f>SUM(E76)</f>
        <v>0</v>
      </c>
      <c r="F80" s="44">
        <f>SUM(F76)</f>
        <v>0</v>
      </c>
      <c r="G80" s="176">
        <f>+(G76+G77+G78)/(100/D79)</f>
        <v>0</v>
      </c>
    </row>
    <row r="81" spans="1:7" s="41" customFormat="1">
      <c r="A81" s="221"/>
      <c r="B81" s="225"/>
      <c r="C81" s="29" t="s">
        <v>11</v>
      </c>
      <c r="D81" s="29" t="s">
        <v>244</v>
      </c>
      <c r="E81" s="30"/>
      <c r="F81" s="31"/>
      <c r="G81" s="81">
        <f>1*F81</f>
        <v>0</v>
      </c>
    </row>
    <row r="82" spans="1:7" s="41" customFormat="1">
      <c r="A82" s="223"/>
      <c r="B82" s="223"/>
      <c r="C82" s="29" t="s">
        <v>12</v>
      </c>
      <c r="D82" s="29" t="s">
        <v>14</v>
      </c>
      <c r="E82" s="32"/>
      <c r="F82" s="32"/>
      <c r="G82" s="81">
        <f>1*F81</f>
        <v>0</v>
      </c>
    </row>
    <row r="83" spans="1:7" s="41" customFormat="1">
      <c r="A83" s="223"/>
      <c r="B83" s="223"/>
      <c r="C83" s="34" t="s">
        <v>13</v>
      </c>
      <c r="D83" s="34" t="s">
        <v>245</v>
      </c>
      <c r="E83" s="35"/>
      <c r="F83" s="32"/>
      <c r="G83" s="81">
        <f>0.1*F81*E81</f>
        <v>0</v>
      </c>
    </row>
    <row r="84" spans="1:7" s="41" customFormat="1">
      <c r="A84" s="224"/>
      <c r="B84" s="224"/>
      <c r="C84" s="87" t="s">
        <v>235</v>
      </c>
      <c r="D84" s="30">
        <v>100</v>
      </c>
      <c r="E84" s="56"/>
      <c r="F84" s="32"/>
      <c r="G84" s="81"/>
    </row>
    <row r="85" spans="1:7" s="41" customFormat="1">
      <c r="A85" s="37"/>
      <c r="B85" s="38"/>
      <c r="C85" s="38"/>
      <c r="D85" s="39" t="s">
        <v>17</v>
      </c>
      <c r="E85" s="40">
        <f>SUM(E81)</f>
        <v>0</v>
      </c>
      <c r="F85" s="40">
        <f>SUM(F81)</f>
        <v>0</v>
      </c>
      <c r="G85" s="176">
        <f>+(G81+G82+G83)/(100/D84)</f>
        <v>0</v>
      </c>
    </row>
    <row r="86" spans="1:7" s="41" customFormat="1">
      <c r="A86" s="221"/>
      <c r="B86" s="225"/>
      <c r="C86" s="29" t="s">
        <v>11</v>
      </c>
      <c r="D86" s="29" t="s">
        <v>244</v>
      </c>
      <c r="E86" s="30"/>
      <c r="F86" s="30"/>
      <c r="G86" s="81">
        <f>1*F86</f>
        <v>0</v>
      </c>
    </row>
    <row r="87" spans="1:7" s="41" customFormat="1">
      <c r="A87" s="223"/>
      <c r="B87" s="223"/>
      <c r="C87" s="29" t="s">
        <v>12</v>
      </c>
      <c r="D87" s="29" t="s">
        <v>14</v>
      </c>
      <c r="E87" s="32"/>
      <c r="F87" s="32"/>
      <c r="G87" s="81">
        <f>1*F86</f>
        <v>0</v>
      </c>
    </row>
    <row r="88" spans="1:7" s="41" customFormat="1">
      <c r="A88" s="223"/>
      <c r="B88" s="223"/>
      <c r="C88" s="34" t="s">
        <v>13</v>
      </c>
      <c r="D88" s="34" t="s">
        <v>245</v>
      </c>
      <c r="E88" s="35"/>
      <c r="F88" s="32"/>
      <c r="G88" s="81">
        <f>0.1*F86*E86</f>
        <v>0</v>
      </c>
    </row>
    <row r="89" spans="1:7" s="41" customFormat="1">
      <c r="A89" s="224"/>
      <c r="B89" s="224"/>
      <c r="C89" s="87" t="s">
        <v>235</v>
      </c>
      <c r="D89" s="30">
        <v>100</v>
      </c>
      <c r="E89" s="36"/>
      <c r="F89" s="32"/>
      <c r="G89" s="81"/>
    </row>
    <row r="90" spans="1:7" s="41" customFormat="1">
      <c r="A90" s="42"/>
      <c r="B90" s="43"/>
      <c r="C90" s="43"/>
      <c r="D90" s="39" t="s">
        <v>17</v>
      </c>
      <c r="E90" s="40">
        <f>SUM(E86)</f>
        <v>0</v>
      </c>
      <c r="F90" s="40">
        <f>SUM(F86)</f>
        <v>0</v>
      </c>
      <c r="G90" s="176">
        <f>+(G86+G87+G88)/(100/D89)</f>
        <v>0</v>
      </c>
    </row>
    <row r="91" spans="1:7" ht="18.75">
      <c r="B91" s="198">
        <f>+C6</f>
        <v>0</v>
      </c>
      <c r="C91" s="45"/>
      <c r="D91" s="46" t="s">
        <v>243</v>
      </c>
      <c r="E91" s="47">
        <f>+E75+E80+E85++E90</f>
        <v>0</v>
      </c>
      <c r="F91" s="47">
        <f>+F75+F80+F85++F90</f>
        <v>0</v>
      </c>
      <c r="G91" s="47">
        <f>+G75+G80+G85++G90</f>
        <v>0</v>
      </c>
    </row>
    <row r="92" spans="1:7" s="80" customFormat="1" ht="18.75">
      <c r="C92" s="45"/>
      <c r="D92" s="127"/>
      <c r="E92" s="119"/>
      <c r="F92" s="119"/>
      <c r="G92" s="119"/>
    </row>
    <row r="93" spans="1:7" s="80" customFormat="1" ht="18.75">
      <c r="C93" s="45"/>
      <c r="D93" s="127"/>
      <c r="E93" s="119"/>
      <c r="F93" s="119"/>
      <c r="G93" s="119"/>
    </row>
    <row r="94" spans="1:7" s="80" customFormat="1" ht="18.75">
      <c r="C94" s="45"/>
      <c r="D94" s="127"/>
      <c r="E94" s="119"/>
      <c r="F94" s="119"/>
      <c r="G94" s="119"/>
    </row>
    <row r="95" spans="1:7" s="80" customFormat="1" ht="18.75">
      <c r="C95" s="45"/>
      <c r="D95" s="127"/>
      <c r="E95" s="119"/>
      <c r="F95" s="119"/>
      <c r="G95" s="119"/>
    </row>
    <row r="96" spans="1:7" ht="18.75">
      <c r="A96" s="13" t="s">
        <v>327</v>
      </c>
      <c r="G96" s="5" t="s">
        <v>277</v>
      </c>
    </row>
    <row r="97" spans="1:7">
      <c r="A97" s="49" t="s">
        <v>2</v>
      </c>
      <c r="B97" s="24" t="s">
        <v>3</v>
      </c>
      <c r="C97" s="23" t="s">
        <v>4</v>
      </c>
      <c r="D97" s="24" t="s">
        <v>5</v>
      </c>
      <c r="E97" s="23"/>
      <c r="F97" s="24" t="s">
        <v>10</v>
      </c>
      <c r="G97" s="25" t="s">
        <v>6</v>
      </c>
    </row>
    <row r="98" spans="1:7">
      <c r="A98" s="50"/>
      <c r="B98" s="51"/>
      <c r="C98" s="52"/>
      <c r="D98" s="51"/>
      <c r="E98" s="26"/>
      <c r="F98" s="27" t="s">
        <v>19</v>
      </c>
      <c r="G98" s="28" t="s">
        <v>7</v>
      </c>
    </row>
    <row r="99" spans="1:7">
      <c r="A99" s="221"/>
      <c r="B99" s="225"/>
      <c r="C99" s="53" t="s">
        <v>18</v>
      </c>
      <c r="D99" s="54" t="s">
        <v>246</v>
      </c>
      <c r="E99" s="55"/>
      <c r="F99" s="30"/>
      <c r="G99" s="81">
        <f>F99*1.5</f>
        <v>0</v>
      </c>
    </row>
    <row r="100" spans="1:7">
      <c r="A100" s="224"/>
      <c r="B100" s="224"/>
      <c r="C100" s="29" t="s">
        <v>235</v>
      </c>
      <c r="D100" s="30">
        <v>100</v>
      </c>
      <c r="E100" s="56"/>
      <c r="F100" s="32"/>
      <c r="G100" s="81"/>
    </row>
    <row r="101" spans="1:7">
      <c r="A101" s="42"/>
      <c r="B101" s="43"/>
      <c r="C101" s="43"/>
      <c r="D101" s="43"/>
      <c r="E101" s="54"/>
      <c r="F101" s="57" t="s">
        <v>17</v>
      </c>
      <c r="G101" s="177">
        <f>+(G99)/(100/D100)</f>
        <v>0</v>
      </c>
    </row>
    <row r="102" spans="1:7" s="41" customFormat="1">
      <c r="A102" s="221"/>
      <c r="B102" s="225"/>
      <c r="C102" s="53" t="s">
        <v>18</v>
      </c>
      <c r="D102" s="54" t="s">
        <v>246</v>
      </c>
      <c r="E102" s="55"/>
      <c r="F102" s="30"/>
      <c r="G102" s="81">
        <f>F102*1.5</f>
        <v>0</v>
      </c>
    </row>
    <row r="103" spans="1:7" s="41" customFormat="1">
      <c r="A103" s="224"/>
      <c r="B103" s="224"/>
      <c r="C103" s="29" t="s">
        <v>235</v>
      </c>
      <c r="D103" s="30">
        <v>100</v>
      </c>
      <c r="E103" s="56"/>
      <c r="F103" s="32"/>
      <c r="G103" s="81"/>
    </row>
    <row r="104" spans="1:7" s="41" customFormat="1">
      <c r="A104" s="42"/>
      <c r="B104" s="43"/>
      <c r="C104" s="43"/>
      <c r="D104" s="43"/>
      <c r="E104" s="54"/>
      <c r="F104" s="57" t="s">
        <v>17</v>
      </c>
      <c r="G104" s="177">
        <f>+(G102)/(100/D103)</f>
        <v>0</v>
      </c>
    </row>
    <row r="105" spans="1:7" s="41" customFormat="1">
      <c r="A105" s="221"/>
      <c r="B105" s="225"/>
      <c r="C105" s="53" t="s">
        <v>18</v>
      </c>
      <c r="D105" s="54" t="s">
        <v>246</v>
      </c>
      <c r="E105" s="55"/>
      <c r="F105" s="30"/>
      <c r="G105" s="81">
        <f>F105*1.5</f>
        <v>0</v>
      </c>
    </row>
    <row r="106" spans="1:7" s="41" customFormat="1">
      <c r="A106" s="224"/>
      <c r="B106" s="224"/>
      <c r="C106" s="29" t="s">
        <v>235</v>
      </c>
      <c r="D106" s="30">
        <v>100</v>
      </c>
      <c r="E106" s="56"/>
      <c r="F106" s="32"/>
      <c r="G106" s="81"/>
    </row>
    <row r="107" spans="1:7" s="41" customFormat="1">
      <c r="A107" s="42"/>
      <c r="B107" s="43"/>
      <c r="C107" s="43"/>
      <c r="D107" s="43"/>
      <c r="E107" s="54"/>
      <c r="F107" s="57" t="s">
        <v>17</v>
      </c>
      <c r="G107" s="177">
        <f>+(G105)/(100/D106)</f>
        <v>0</v>
      </c>
    </row>
    <row r="108" spans="1:7" s="41" customFormat="1" ht="18.75">
      <c r="E108" s="120" t="s">
        <v>247</v>
      </c>
      <c r="F108" s="121"/>
      <c r="G108" s="122">
        <f>+G101+G104+G107</f>
        <v>0</v>
      </c>
    </row>
    <row r="109" spans="1:7" s="41" customFormat="1" ht="18.75">
      <c r="E109" s="94"/>
      <c r="F109" s="119"/>
      <c r="G109" s="95"/>
    </row>
    <row r="110" spans="1:7" s="41" customFormat="1" ht="18.75">
      <c r="A110" s="13" t="s">
        <v>283</v>
      </c>
      <c r="F110" s="61"/>
      <c r="G110" s="62"/>
    </row>
    <row r="111" spans="1:7">
      <c r="A111" s="227" t="s">
        <v>23</v>
      </c>
      <c r="B111" s="237"/>
      <c r="C111" s="238"/>
      <c r="D111" s="203" t="s">
        <v>5</v>
      </c>
      <c r="E111" s="63" t="s">
        <v>10</v>
      </c>
      <c r="F111" s="64" t="s">
        <v>10</v>
      </c>
      <c r="G111" s="24" t="s">
        <v>6</v>
      </c>
    </row>
    <row r="112" spans="1:7">
      <c r="A112" s="239"/>
      <c r="B112" s="240"/>
      <c r="C112" s="241"/>
      <c r="D112" s="293"/>
      <c r="E112" s="65" t="s">
        <v>19</v>
      </c>
      <c r="F112" s="66" t="s">
        <v>9</v>
      </c>
      <c r="G112" s="27" t="s">
        <v>7</v>
      </c>
    </row>
    <row r="113" spans="1:7">
      <c r="A113" s="242"/>
      <c r="B113" s="243"/>
      <c r="C113" s="175" t="s">
        <v>24</v>
      </c>
      <c r="D113" s="68" t="s">
        <v>27</v>
      </c>
      <c r="E113" s="69"/>
      <c r="F113" s="70"/>
      <c r="G113" s="71">
        <f>+E113/17</f>
        <v>0</v>
      </c>
    </row>
    <row r="114" spans="1:7">
      <c r="A114" s="242"/>
      <c r="B114" s="243"/>
      <c r="C114" s="175" t="s">
        <v>25</v>
      </c>
      <c r="D114" s="72" t="s">
        <v>328</v>
      </c>
      <c r="E114" s="73"/>
      <c r="F114" s="30"/>
      <c r="G114" s="74">
        <f>+F114/17</f>
        <v>0</v>
      </c>
    </row>
    <row r="115" spans="1:7">
      <c r="A115" s="242"/>
      <c r="B115" s="243"/>
      <c r="C115" s="175" t="s">
        <v>26</v>
      </c>
      <c r="D115" s="68" t="s">
        <v>28</v>
      </c>
      <c r="E115" s="67"/>
      <c r="F115" s="75"/>
      <c r="G115" s="74">
        <f>+E115/17</f>
        <v>0</v>
      </c>
    </row>
    <row r="116" spans="1:7" ht="18.75">
      <c r="E116" s="58" t="s">
        <v>35</v>
      </c>
      <c r="F116" s="76"/>
      <c r="G116" s="77">
        <f>SUM(G113:G115)</f>
        <v>0</v>
      </c>
    </row>
    <row r="117" spans="1:7" s="80" customFormat="1" ht="15.75" customHeight="1">
      <c r="A117" s="13" t="s">
        <v>250</v>
      </c>
      <c r="E117" s="178"/>
      <c r="F117" s="179"/>
      <c r="G117" s="180"/>
    </row>
    <row r="118" spans="1:7">
      <c r="A118" s="227" t="s">
        <v>23</v>
      </c>
      <c r="B118" s="228"/>
      <c r="C118" s="205" t="s">
        <v>5</v>
      </c>
      <c r="D118" s="213"/>
      <c r="E118" s="123" t="s">
        <v>10</v>
      </c>
      <c r="F118" s="123" t="s">
        <v>10</v>
      </c>
      <c r="G118" s="123" t="s">
        <v>6</v>
      </c>
    </row>
    <row r="119" spans="1:7">
      <c r="A119" s="229"/>
      <c r="B119" s="230"/>
      <c r="C119" s="290"/>
      <c r="D119" s="213"/>
      <c r="E119" s="123" t="s">
        <v>29</v>
      </c>
      <c r="F119" s="123" t="s">
        <v>188</v>
      </c>
      <c r="G119" s="123" t="s">
        <v>7</v>
      </c>
    </row>
    <row r="120" spans="1:7">
      <c r="A120" s="235" t="s">
        <v>31</v>
      </c>
      <c r="B120" s="236"/>
      <c r="C120" s="249" t="s">
        <v>329</v>
      </c>
      <c r="D120" s="249"/>
      <c r="E120" s="79"/>
      <c r="F120" s="80"/>
      <c r="G120" s="81">
        <f>(0.5*E120)/17</f>
        <v>0</v>
      </c>
    </row>
    <row r="121" spans="1:7">
      <c r="A121" s="235" t="s">
        <v>30</v>
      </c>
      <c r="B121" s="236"/>
      <c r="C121" s="249" t="s">
        <v>330</v>
      </c>
      <c r="D121" s="249"/>
      <c r="E121" s="80"/>
      <c r="F121" s="30"/>
      <c r="G121" s="81">
        <f>1.5*F121</f>
        <v>0</v>
      </c>
    </row>
    <row r="122" spans="1:7" ht="18.75">
      <c r="E122" s="58" t="s">
        <v>249</v>
      </c>
      <c r="F122" s="76"/>
      <c r="G122" s="77">
        <f>SUM(G120:G121)</f>
        <v>0</v>
      </c>
    </row>
    <row r="123" spans="1:7" ht="18.75">
      <c r="A123" s="13" t="s">
        <v>252</v>
      </c>
    </row>
    <row r="124" spans="1:7">
      <c r="A124" s="227" t="s">
        <v>23</v>
      </c>
      <c r="B124" s="228"/>
      <c r="C124" s="205" t="s">
        <v>5</v>
      </c>
      <c r="D124" s="205" t="s">
        <v>332</v>
      </c>
      <c r="E124" s="24" t="s">
        <v>10</v>
      </c>
      <c r="F124" s="24" t="s">
        <v>10</v>
      </c>
      <c r="G124" s="24" t="s">
        <v>6</v>
      </c>
    </row>
    <row r="125" spans="1:7">
      <c r="A125" s="229"/>
      <c r="B125" s="230"/>
      <c r="C125" s="205"/>
      <c r="D125" s="205"/>
      <c r="E125" s="27" t="s">
        <v>8</v>
      </c>
      <c r="F125" s="27" t="s">
        <v>188</v>
      </c>
      <c r="G125" s="27" t="s">
        <v>7</v>
      </c>
    </row>
    <row r="126" spans="1:7">
      <c r="A126" s="235" t="s">
        <v>214</v>
      </c>
      <c r="B126" s="236"/>
      <c r="C126" s="29" t="s">
        <v>331</v>
      </c>
      <c r="D126" s="30"/>
      <c r="E126" s="30"/>
      <c r="F126" s="32"/>
      <c r="G126" s="81">
        <f>(2*D126)*E126</f>
        <v>0</v>
      </c>
    </row>
    <row r="127" spans="1:7">
      <c r="A127" s="235" t="s">
        <v>215</v>
      </c>
      <c r="B127" s="245"/>
      <c r="C127" s="29" t="s">
        <v>256</v>
      </c>
      <c r="D127" s="30"/>
      <c r="E127" s="30"/>
      <c r="F127" s="32"/>
      <c r="G127" s="81">
        <f>(1*D127)*E127</f>
        <v>0</v>
      </c>
    </row>
    <row r="128" spans="1:7">
      <c r="A128" s="235" t="s">
        <v>34</v>
      </c>
      <c r="B128" s="245"/>
      <c r="C128" s="29" t="s">
        <v>333</v>
      </c>
      <c r="D128" s="30"/>
      <c r="E128" s="32"/>
      <c r="F128" s="32"/>
      <c r="G128" s="81">
        <f>+D128/17</f>
        <v>0</v>
      </c>
    </row>
    <row r="129" spans="1:8">
      <c r="A129" s="235" t="s">
        <v>32</v>
      </c>
      <c r="B129" s="245"/>
      <c r="C129" s="29" t="s">
        <v>33</v>
      </c>
      <c r="D129" s="32"/>
      <c r="E129" s="32"/>
      <c r="F129" s="30"/>
      <c r="G129" s="81">
        <f>1.5*F129</f>
        <v>0</v>
      </c>
    </row>
    <row r="130" spans="1:8" ht="18.75">
      <c r="A130" s="226"/>
      <c r="B130" s="226"/>
      <c r="E130" s="58" t="s">
        <v>251</v>
      </c>
      <c r="F130" s="76"/>
      <c r="G130" s="77">
        <f>SUM(G126:G129)</f>
        <v>0</v>
      </c>
    </row>
    <row r="131" spans="1:8" ht="18.75">
      <c r="A131" s="13" t="s">
        <v>338</v>
      </c>
    </row>
    <row r="132" spans="1:8">
      <c r="A132" s="227" t="s">
        <v>23</v>
      </c>
      <c r="B132" s="228"/>
      <c r="C132" s="205" t="s">
        <v>5</v>
      </c>
      <c r="D132" s="244" t="s">
        <v>336</v>
      </c>
      <c r="E132" s="24" t="s">
        <v>10</v>
      </c>
      <c r="F132" s="24" t="s">
        <v>10</v>
      </c>
      <c r="G132" s="24" t="s">
        <v>6</v>
      </c>
    </row>
    <row r="133" spans="1:8">
      <c r="A133" s="229"/>
      <c r="B133" s="230"/>
      <c r="C133" s="205"/>
      <c r="D133" s="244"/>
      <c r="E133" s="27" t="s">
        <v>8</v>
      </c>
      <c r="F133" s="27" t="s">
        <v>188</v>
      </c>
      <c r="G133" s="27" t="s">
        <v>7</v>
      </c>
    </row>
    <row r="134" spans="1:8">
      <c r="A134" s="235" t="s">
        <v>334</v>
      </c>
      <c r="B134" s="236"/>
      <c r="C134" s="29" t="s">
        <v>331</v>
      </c>
      <c r="D134" s="30"/>
      <c r="E134" s="30"/>
      <c r="F134" s="32"/>
      <c r="G134" s="81">
        <f>(2*D134)*E134</f>
        <v>0</v>
      </c>
      <c r="H134" s="80"/>
    </row>
    <row r="135" spans="1:8">
      <c r="A135" s="235" t="s">
        <v>335</v>
      </c>
      <c r="B135" s="245"/>
      <c r="C135" s="29" t="s">
        <v>256</v>
      </c>
      <c r="D135" s="30"/>
      <c r="E135" s="30"/>
      <c r="F135" s="32"/>
      <c r="G135" s="81">
        <f>(1*D135)*E135</f>
        <v>0</v>
      </c>
      <c r="H135" s="80"/>
    </row>
    <row r="136" spans="1:8">
      <c r="A136" s="235" t="s">
        <v>337</v>
      </c>
      <c r="B136" s="245"/>
      <c r="C136" s="29" t="s">
        <v>341</v>
      </c>
      <c r="D136" s="30"/>
      <c r="E136" s="32"/>
      <c r="F136" s="32"/>
      <c r="G136" s="81">
        <f>+(D136*6)/17</f>
        <v>0</v>
      </c>
      <c r="H136" s="80"/>
    </row>
    <row r="137" spans="1:8" ht="18.75">
      <c r="A137" s="226"/>
      <c r="B137" s="226"/>
      <c r="E137" s="58" t="s">
        <v>253</v>
      </c>
      <c r="F137" s="76"/>
      <c r="G137" s="77">
        <f>SUM(G134:G136)</f>
        <v>0</v>
      </c>
    </row>
    <row r="138" spans="1:8" s="80" customFormat="1" ht="18.75">
      <c r="A138" s="124"/>
      <c r="B138" s="196">
        <f>+C6</f>
        <v>0</v>
      </c>
      <c r="E138" s="94"/>
      <c r="F138" s="45"/>
      <c r="G138" s="95"/>
    </row>
    <row r="139" spans="1:8" s="80" customFormat="1" ht="18.75">
      <c r="A139" s="124"/>
      <c r="B139" s="124"/>
      <c r="E139" s="94"/>
      <c r="F139" s="45"/>
      <c r="G139" s="95"/>
    </row>
    <row r="140" spans="1:8" s="80" customFormat="1" ht="18.75">
      <c r="A140" s="124"/>
      <c r="B140" s="124"/>
      <c r="E140" s="94"/>
      <c r="F140" s="45"/>
      <c r="G140" s="95"/>
    </row>
    <row r="141" spans="1:8" s="80" customFormat="1" ht="18.75">
      <c r="A141" s="124"/>
      <c r="B141" s="124"/>
      <c r="E141" s="94"/>
      <c r="F141" s="45"/>
      <c r="G141" s="95"/>
    </row>
    <row r="142" spans="1:8" s="80" customFormat="1" ht="18.75">
      <c r="A142" s="124"/>
      <c r="B142" s="124"/>
      <c r="E142" s="94"/>
      <c r="F142" s="45"/>
      <c r="G142" s="95"/>
    </row>
    <row r="143" spans="1:8" s="80" customFormat="1" ht="18.75">
      <c r="A143" s="124"/>
      <c r="B143" s="124"/>
      <c r="E143" s="94"/>
      <c r="F143" s="45"/>
      <c r="G143" s="5" t="s">
        <v>276</v>
      </c>
    </row>
    <row r="144" spans="1:8" ht="18.75">
      <c r="A144" s="13" t="s">
        <v>339</v>
      </c>
    </row>
    <row r="145" spans="1:8">
      <c r="A145" s="227" t="s">
        <v>23</v>
      </c>
      <c r="B145" s="228"/>
      <c r="C145" s="205" t="s">
        <v>5</v>
      </c>
      <c r="D145" s="205" t="s">
        <v>254</v>
      </c>
      <c r="E145" s="24" t="s">
        <v>10</v>
      </c>
      <c r="F145" s="24" t="s">
        <v>10</v>
      </c>
      <c r="G145" s="24" t="s">
        <v>6</v>
      </c>
    </row>
    <row r="146" spans="1:8">
      <c r="A146" s="229"/>
      <c r="B146" s="230"/>
      <c r="C146" s="205"/>
      <c r="D146" s="205"/>
      <c r="E146" s="27" t="s">
        <v>8</v>
      </c>
      <c r="F146" s="27" t="s">
        <v>281</v>
      </c>
      <c r="G146" s="27" t="s">
        <v>7</v>
      </c>
    </row>
    <row r="147" spans="1:8">
      <c r="A147" s="235" t="s">
        <v>214</v>
      </c>
      <c r="B147" s="236"/>
      <c r="C147" s="29" t="s">
        <v>255</v>
      </c>
      <c r="D147" s="30"/>
      <c r="E147" s="30"/>
      <c r="F147" s="32"/>
      <c r="G147" s="81">
        <f>(3*D147)*E147</f>
        <v>0</v>
      </c>
    </row>
    <row r="148" spans="1:8">
      <c r="A148" s="235" t="s">
        <v>215</v>
      </c>
      <c r="B148" s="245"/>
      <c r="C148" s="29" t="s">
        <v>256</v>
      </c>
      <c r="D148" s="30"/>
      <c r="E148" s="30"/>
      <c r="F148" s="32"/>
      <c r="G148" s="81">
        <f>(1*D148)*E148</f>
        <v>0</v>
      </c>
    </row>
    <row r="149" spans="1:8" ht="31.5" customHeight="1">
      <c r="A149" s="247" t="s">
        <v>340</v>
      </c>
      <c r="B149" s="248"/>
      <c r="C149" s="68" t="s">
        <v>342</v>
      </c>
      <c r="D149" s="30"/>
      <c r="E149" s="32"/>
      <c r="F149" s="32"/>
      <c r="G149" s="81">
        <f>+D149/17</f>
        <v>0</v>
      </c>
    </row>
    <row r="150" spans="1:8" ht="17.25" customHeight="1">
      <c r="A150" s="247" t="s">
        <v>284</v>
      </c>
      <c r="B150" s="248"/>
      <c r="C150" s="68" t="s">
        <v>343</v>
      </c>
      <c r="D150" s="32"/>
      <c r="E150" s="32"/>
      <c r="F150" s="30"/>
      <c r="G150" s="81">
        <f>(10*F150)/17</f>
        <v>0</v>
      </c>
      <c r="H150" s="192"/>
    </row>
    <row r="151" spans="1:8" ht="18.75">
      <c r="A151" s="226"/>
      <c r="B151" s="226"/>
      <c r="E151" s="120" t="s">
        <v>262</v>
      </c>
      <c r="F151" s="161"/>
      <c r="G151" s="162">
        <f>SUM(G147:G150)</f>
        <v>0</v>
      </c>
      <c r="H151" s="80"/>
    </row>
    <row r="152" spans="1:8" ht="18.75">
      <c r="A152" s="13" t="s">
        <v>320</v>
      </c>
      <c r="H152" s="80"/>
    </row>
    <row r="153" spans="1:8">
      <c r="A153" s="227" t="s">
        <v>23</v>
      </c>
      <c r="B153" s="228"/>
      <c r="C153" s="205" t="s">
        <v>5</v>
      </c>
      <c r="D153" s="205" t="s">
        <v>259</v>
      </c>
      <c r="E153" s="24"/>
      <c r="F153" s="24"/>
      <c r="G153" s="24" t="s">
        <v>6</v>
      </c>
      <c r="H153" s="80"/>
    </row>
    <row r="154" spans="1:8">
      <c r="A154" s="229"/>
      <c r="B154" s="230"/>
      <c r="C154" s="205"/>
      <c r="D154" s="205"/>
      <c r="E154" s="27"/>
      <c r="F154" s="27"/>
      <c r="G154" s="27" t="s">
        <v>7</v>
      </c>
      <c r="H154" s="80"/>
    </row>
    <row r="155" spans="1:8">
      <c r="A155" s="235" t="s">
        <v>257</v>
      </c>
      <c r="B155" s="236"/>
      <c r="C155" s="175" t="s">
        <v>258</v>
      </c>
      <c r="D155" s="30"/>
      <c r="E155" s="125"/>
      <c r="F155" s="32"/>
      <c r="G155" s="32">
        <f>(2*D155)/17</f>
        <v>0</v>
      </c>
      <c r="H155" s="80"/>
    </row>
    <row r="156" spans="1:8">
      <c r="A156" s="235" t="s">
        <v>280</v>
      </c>
      <c r="B156" s="245"/>
      <c r="C156" s="175" t="s">
        <v>260</v>
      </c>
      <c r="D156" s="30"/>
      <c r="E156" s="125"/>
      <c r="F156" s="32"/>
      <c r="G156" s="32">
        <f>(3*D156)/17</f>
        <v>0</v>
      </c>
      <c r="H156" s="80"/>
    </row>
    <row r="157" spans="1:8" ht="18.75">
      <c r="A157" s="226"/>
      <c r="B157" s="226"/>
      <c r="E157" s="58" t="s">
        <v>261</v>
      </c>
      <c r="F157" s="76"/>
      <c r="G157" s="77">
        <f>SUM(G155:G156)</f>
        <v>0</v>
      </c>
    </row>
    <row r="158" spans="1:8" s="80" customFormat="1" ht="18.75">
      <c r="A158" s="18" t="s">
        <v>218</v>
      </c>
      <c r="B158" s="126"/>
      <c r="C158" s="82"/>
      <c r="E158" s="94"/>
      <c r="F158" s="45"/>
      <c r="G158" s="95"/>
    </row>
    <row r="159" spans="1:8" ht="18.75">
      <c r="A159" s="13" t="s">
        <v>291</v>
      </c>
      <c r="B159" s="80"/>
      <c r="C159" s="80"/>
    </row>
    <row r="160" spans="1:8">
      <c r="A160" s="205" t="s">
        <v>292</v>
      </c>
      <c r="B160" s="213"/>
      <c r="C160" s="213"/>
      <c r="D160" s="205" t="s">
        <v>5</v>
      </c>
      <c r="E160" s="24" t="s">
        <v>217</v>
      </c>
      <c r="F160" s="24" t="s">
        <v>175</v>
      </c>
      <c r="G160" s="24" t="s">
        <v>6</v>
      </c>
    </row>
    <row r="161" spans="1:10">
      <c r="A161" s="213"/>
      <c r="B161" s="213"/>
      <c r="C161" s="213"/>
      <c r="D161" s="205"/>
      <c r="E161" s="263" t="s">
        <v>216</v>
      </c>
      <c r="F161" s="263" t="s">
        <v>189</v>
      </c>
      <c r="G161" s="263" t="s">
        <v>7</v>
      </c>
    </row>
    <row r="162" spans="1:10">
      <c r="A162" s="286" t="s">
        <v>174</v>
      </c>
      <c r="B162" s="287"/>
      <c r="C162" s="288"/>
      <c r="D162" s="78" t="s">
        <v>36</v>
      </c>
      <c r="E162" s="204"/>
      <c r="F162" s="204"/>
      <c r="G162" s="204"/>
    </row>
    <row r="163" spans="1:10">
      <c r="A163" s="83" t="s">
        <v>285</v>
      </c>
      <c r="B163" s="206"/>
      <c r="C163" s="206"/>
      <c r="D163" s="207"/>
      <c r="E163" s="30"/>
      <c r="F163" s="84">
        <v>100</v>
      </c>
      <c r="G163" s="32">
        <f>(9*E163)/(100/F163)</f>
        <v>0</v>
      </c>
    </row>
    <row r="164" spans="1:10">
      <c r="A164" s="83" t="s">
        <v>286</v>
      </c>
      <c r="B164" s="206"/>
      <c r="C164" s="206"/>
      <c r="D164" s="207"/>
      <c r="E164" s="30"/>
      <c r="F164" s="84">
        <v>100</v>
      </c>
      <c r="G164" s="32">
        <f>((9/2)*E164)/(100/F164)</f>
        <v>0</v>
      </c>
    </row>
    <row r="165" spans="1:10">
      <c r="A165" s="83" t="s">
        <v>287</v>
      </c>
      <c r="B165" s="206"/>
      <c r="C165" s="206"/>
      <c r="D165" s="207"/>
      <c r="E165" s="30"/>
      <c r="F165" s="84">
        <v>100</v>
      </c>
      <c r="G165" s="32">
        <f>((9/3)*E165)/(100/F165)</f>
        <v>0</v>
      </c>
    </row>
    <row r="166" spans="1:10">
      <c r="A166" s="83" t="s">
        <v>288</v>
      </c>
      <c r="B166" s="206"/>
      <c r="C166" s="206"/>
      <c r="D166" s="207"/>
      <c r="E166" s="30"/>
      <c r="F166" s="84">
        <v>100</v>
      </c>
      <c r="G166" s="32">
        <f>((9*E166)/(100/F166))/4</f>
        <v>0</v>
      </c>
    </row>
    <row r="167" spans="1:10">
      <c r="A167" s="83" t="s">
        <v>289</v>
      </c>
      <c r="B167" s="206"/>
      <c r="C167" s="206"/>
      <c r="D167" s="207"/>
      <c r="E167" s="30"/>
      <c r="F167" s="84">
        <v>100</v>
      </c>
      <c r="G167" s="32">
        <f>((9*E167)/(100/F167))/5</f>
        <v>0</v>
      </c>
    </row>
    <row r="168" spans="1:10">
      <c r="A168" s="250" t="s">
        <v>344</v>
      </c>
      <c r="B168" s="251"/>
      <c r="C168" s="252"/>
      <c r="D168" s="181" t="s">
        <v>290</v>
      </c>
      <c r="E168" s="30"/>
      <c r="F168" s="32"/>
      <c r="G168" s="32">
        <f>3*E168</f>
        <v>0</v>
      </c>
    </row>
    <row r="169" spans="1:10" ht="18.75">
      <c r="E169" s="58" t="s">
        <v>37</v>
      </c>
      <c r="F169" s="85"/>
      <c r="G169" s="77">
        <f>SUM(G163:G168)</f>
        <v>0</v>
      </c>
    </row>
    <row r="170" spans="1:10" ht="18.75">
      <c r="A170" s="13" t="s">
        <v>221</v>
      </c>
    </row>
    <row r="171" spans="1:10">
      <c r="A171" s="205" t="s">
        <v>38</v>
      </c>
      <c r="B171" s="213"/>
      <c r="C171" s="213"/>
      <c r="D171" s="205" t="s">
        <v>5</v>
      </c>
      <c r="E171" s="49" t="s">
        <v>10</v>
      </c>
      <c r="F171" s="24" t="s">
        <v>191</v>
      </c>
      <c r="G171" s="24" t="s">
        <v>6</v>
      </c>
    </row>
    <row r="172" spans="1:10">
      <c r="A172" s="213"/>
      <c r="B172" s="213"/>
      <c r="C172" s="213"/>
      <c r="D172" s="205"/>
      <c r="E172" s="280" t="s">
        <v>40</v>
      </c>
      <c r="F172" s="263" t="s">
        <v>192</v>
      </c>
      <c r="G172" s="263" t="s">
        <v>7</v>
      </c>
    </row>
    <row r="173" spans="1:10">
      <c r="A173" s="253" t="s">
        <v>39</v>
      </c>
      <c r="B173" s="254"/>
      <c r="C173" s="255"/>
      <c r="D173" s="29" t="s">
        <v>190</v>
      </c>
      <c r="E173" s="239"/>
      <c r="F173" s="204"/>
      <c r="G173" s="204"/>
    </row>
    <row r="174" spans="1:10">
      <c r="A174" s="87" t="s">
        <v>296</v>
      </c>
      <c r="B174" s="256"/>
      <c r="C174" s="256"/>
      <c r="D174" s="256"/>
      <c r="E174" s="30"/>
      <c r="F174" s="30">
        <v>100</v>
      </c>
      <c r="G174" s="81">
        <f>((234*E174)/(100/F174))/17</f>
        <v>0</v>
      </c>
      <c r="H174" s="80"/>
    </row>
    <row r="175" spans="1:10" ht="18.75">
      <c r="A175" s="13"/>
      <c r="E175" s="88" t="s">
        <v>48</v>
      </c>
      <c r="F175" s="85"/>
      <c r="G175" s="77">
        <f>SUM(G174:G174)</f>
        <v>0</v>
      </c>
      <c r="H175" s="80"/>
      <c r="J175" s="89"/>
    </row>
    <row r="176" spans="1:10" ht="18.75">
      <c r="A176" s="13" t="s">
        <v>222</v>
      </c>
      <c r="E176" s="94"/>
      <c r="F176" s="45"/>
      <c r="G176" s="95"/>
      <c r="H176" s="80"/>
      <c r="J176" s="174"/>
    </row>
    <row r="177" spans="1:8" ht="18.75">
      <c r="A177" s="13" t="s">
        <v>239</v>
      </c>
      <c r="H177" s="80"/>
    </row>
    <row r="178" spans="1:8">
      <c r="A178" s="205" t="s">
        <v>55</v>
      </c>
      <c r="B178" s="213"/>
      <c r="C178" s="213"/>
      <c r="D178" s="205" t="s">
        <v>5</v>
      </c>
      <c r="E178" s="24" t="s">
        <v>10</v>
      </c>
      <c r="F178" s="24" t="s">
        <v>191</v>
      </c>
      <c r="G178" s="24" t="s">
        <v>6</v>
      </c>
      <c r="H178" s="80"/>
    </row>
    <row r="179" spans="1:8">
      <c r="A179" s="213"/>
      <c r="B179" s="213"/>
      <c r="C179" s="213"/>
      <c r="D179" s="205"/>
      <c r="E179" s="27" t="s">
        <v>29</v>
      </c>
      <c r="F179" s="27" t="s">
        <v>192</v>
      </c>
      <c r="G179" s="27" t="s">
        <v>7</v>
      </c>
      <c r="H179" s="80"/>
    </row>
    <row r="180" spans="1:8">
      <c r="A180" s="214" t="s">
        <v>345</v>
      </c>
      <c r="B180" s="215"/>
      <c r="C180" s="216"/>
      <c r="D180" s="90" t="s">
        <v>41</v>
      </c>
      <c r="E180" s="30"/>
      <c r="F180" s="30">
        <v>100</v>
      </c>
      <c r="G180" s="81">
        <f>((40*E180)/(100/F180))/26</f>
        <v>0</v>
      </c>
      <c r="H180" s="80"/>
    </row>
    <row r="181" spans="1:8">
      <c r="A181" s="214" t="s">
        <v>45</v>
      </c>
      <c r="B181" s="215"/>
      <c r="C181" s="216"/>
      <c r="D181" s="90" t="s">
        <v>42</v>
      </c>
      <c r="E181" s="30"/>
      <c r="F181" s="30">
        <v>100</v>
      </c>
      <c r="G181" s="81">
        <f>((60*E181)/(100/F181))/26</f>
        <v>0</v>
      </c>
      <c r="H181" s="80"/>
    </row>
    <row r="182" spans="1:8">
      <c r="A182" s="214" t="s">
        <v>46</v>
      </c>
      <c r="B182" s="215"/>
      <c r="C182" s="216"/>
      <c r="D182" s="90" t="s">
        <v>43</v>
      </c>
      <c r="E182" s="30"/>
      <c r="F182" s="30">
        <v>100</v>
      </c>
      <c r="G182" s="81">
        <f>((80*E182)/(100/F182))/26</f>
        <v>0</v>
      </c>
    </row>
    <row r="183" spans="1:8">
      <c r="A183" s="214" t="s">
        <v>47</v>
      </c>
      <c r="B183" s="215"/>
      <c r="C183" s="216"/>
      <c r="D183" s="188" t="s">
        <v>44</v>
      </c>
      <c r="E183" s="30"/>
      <c r="F183" s="30">
        <v>100</v>
      </c>
      <c r="G183" s="81">
        <f>((120*E183)/(100/F183))/26</f>
        <v>0</v>
      </c>
    </row>
    <row r="184" spans="1:8">
      <c r="A184" s="214" t="s">
        <v>346</v>
      </c>
      <c r="B184" s="215"/>
      <c r="C184" s="216"/>
      <c r="D184" s="90" t="s">
        <v>347</v>
      </c>
      <c r="E184" s="30"/>
      <c r="F184" s="30">
        <v>100</v>
      </c>
      <c r="G184" s="81">
        <f>((30*E184)/(100/F184))/26</f>
        <v>0</v>
      </c>
    </row>
    <row r="185" spans="1:8" ht="18.75">
      <c r="A185" s="13"/>
      <c r="B185" s="198">
        <f>+C6</f>
        <v>0</v>
      </c>
      <c r="E185" s="163" t="s">
        <v>49</v>
      </c>
      <c r="F185" s="164"/>
      <c r="G185" s="162">
        <f>SUM(G180:G184)</f>
        <v>0</v>
      </c>
    </row>
    <row r="186" spans="1:8" s="80" customFormat="1" ht="18.75">
      <c r="A186" s="165"/>
      <c r="E186" s="94"/>
      <c r="F186" s="45"/>
      <c r="G186" s="95"/>
    </row>
    <row r="187" spans="1:8" s="80" customFormat="1" ht="18.75">
      <c r="A187" s="165"/>
      <c r="E187" s="94"/>
      <c r="F187" s="45"/>
      <c r="G187" s="95"/>
    </row>
    <row r="188" spans="1:8" s="80" customFormat="1" ht="18.75">
      <c r="A188" s="165"/>
      <c r="E188" s="94"/>
      <c r="F188" s="45"/>
      <c r="G188" s="95"/>
    </row>
    <row r="189" spans="1:8" s="80" customFormat="1" ht="18.75">
      <c r="A189" s="165"/>
      <c r="E189" s="94"/>
      <c r="F189" s="45"/>
      <c r="G189" s="5" t="s">
        <v>275</v>
      </c>
    </row>
    <row r="190" spans="1:8" s="80" customFormat="1" ht="18.75">
      <c r="A190" s="13" t="s">
        <v>240</v>
      </c>
      <c r="E190" s="94"/>
      <c r="F190" s="45"/>
      <c r="G190" s="95"/>
    </row>
    <row r="191" spans="1:8">
      <c r="A191" s="205" t="s">
        <v>55</v>
      </c>
      <c r="B191" s="213"/>
      <c r="C191" s="213"/>
      <c r="D191" s="205" t="s">
        <v>5</v>
      </c>
      <c r="E191" s="24" t="s">
        <v>10</v>
      </c>
      <c r="F191" s="24" t="s">
        <v>191</v>
      </c>
      <c r="G191" s="24" t="s">
        <v>6</v>
      </c>
    </row>
    <row r="192" spans="1:8">
      <c r="A192" s="213"/>
      <c r="B192" s="213"/>
      <c r="C192" s="213"/>
      <c r="D192" s="205"/>
      <c r="E192" s="27" t="s">
        <v>29</v>
      </c>
      <c r="F192" s="27" t="s">
        <v>192</v>
      </c>
      <c r="G192" s="27" t="s">
        <v>7</v>
      </c>
    </row>
    <row r="193" spans="1:7">
      <c r="A193" s="214" t="s">
        <v>51</v>
      </c>
      <c r="B193" s="215"/>
      <c r="C193" s="216"/>
      <c r="D193" s="90" t="s">
        <v>50</v>
      </c>
      <c r="E193" s="30"/>
      <c r="F193" s="30">
        <v>100</v>
      </c>
      <c r="G193" s="81">
        <f>((20*E193)/(100/F193))/26</f>
        <v>0</v>
      </c>
    </row>
    <row r="194" spans="1:7">
      <c r="A194" s="214" t="s">
        <v>52</v>
      </c>
      <c r="B194" s="215"/>
      <c r="C194" s="216"/>
      <c r="D194" s="90" t="s">
        <v>41</v>
      </c>
      <c r="E194" s="30"/>
      <c r="F194" s="30">
        <v>100</v>
      </c>
      <c r="G194" s="81">
        <f>((40*E194)/(100/F194))/26</f>
        <v>0</v>
      </c>
    </row>
    <row r="195" spans="1:7">
      <c r="A195" s="214" t="s">
        <v>53</v>
      </c>
      <c r="B195" s="215"/>
      <c r="C195" s="216"/>
      <c r="D195" s="90" t="s">
        <v>41</v>
      </c>
      <c r="E195" s="30"/>
      <c r="F195" s="30">
        <v>100</v>
      </c>
      <c r="G195" s="81">
        <f>((40*E195)/(100/F195))/26</f>
        <v>0</v>
      </c>
    </row>
    <row r="196" spans="1:7">
      <c r="A196" s="214" t="s">
        <v>54</v>
      </c>
      <c r="B196" s="215"/>
      <c r="C196" s="216"/>
      <c r="D196" s="90" t="s">
        <v>43</v>
      </c>
      <c r="E196" s="30"/>
      <c r="F196" s="30">
        <v>100</v>
      </c>
      <c r="G196" s="81">
        <f>((80*E196)/(100/F196))/26</f>
        <v>0</v>
      </c>
    </row>
    <row r="197" spans="1:7" ht="18.75">
      <c r="E197" s="88" t="s">
        <v>56</v>
      </c>
      <c r="F197" s="85"/>
      <c r="G197" s="77">
        <f>SUM(G193:G196)</f>
        <v>0</v>
      </c>
    </row>
    <row r="198" spans="1:7" ht="18.75">
      <c r="A198" s="13" t="s">
        <v>241</v>
      </c>
      <c r="G198" s="5"/>
    </row>
    <row r="199" spans="1:7">
      <c r="A199" s="205" t="s">
        <v>193</v>
      </c>
      <c r="B199" s="213"/>
      <c r="C199" s="213"/>
      <c r="D199" s="205" t="s">
        <v>5</v>
      </c>
      <c r="E199" s="24" t="s">
        <v>10</v>
      </c>
      <c r="F199" s="24" t="s">
        <v>191</v>
      </c>
      <c r="G199" s="24" t="s">
        <v>6</v>
      </c>
    </row>
    <row r="200" spans="1:7">
      <c r="A200" s="213"/>
      <c r="B200" s="213"/>
      <c r="C200" s="213"/>
      <c r="D200" s="205"/>
      <c r="E200" s="27" t="s">
        <v>29</v>
      </c>
      <c r="F200" s="27" t="s">
        <v>192</v>
      </c>
      <c r="G200" s="27" t="s">
        <v>7</v>
      </c>
    </row>
    <row r="201" spans="1:7">
      <c r="A201" s="214" t="s">
        <v>59</v>
      </c>
      <c r="B201" s="215"/>
      <c r="C201" s="216"/>
      <c r="D201" s="90" t="s">
        <v>58</v>
      </c>
      <c r="E201" s="30"/>
      <c r="F201" s="30">
        <v>100</v>
      </c>
      <c r="G201" s="81">
        <f>((10*E201)/(100/F201))/26</f>
        <v>0</v>
      </c>
    </row>
    <row r="202" spans="1:7">
      <c r="A202" s="214" t="s">
        <v>60</v>
      </c>
      <c r="B202" s="215"/>
      <c r="C202" s="216"/>
      <c r="D202" s="90" t="s">
        <v>50</v>
      </c>
      <c r="E202" s="30"/>
      <c r="F202" s="30">
        <v>100</v>
      </c>
      <c r="G202" s="81">
        <f>((20*E202)/(100/F202))/26</f>
        <v>0</v>
      </c>
    </row>
    <row r="203" spans="1:7">
      <c r="A203" s="214" t="s">
        <v>61</v>
      </c>
      <c r="B203" s="215"/>
      <c r="C203" s="216"/>
      <c r="D203" s="90" t="s">
        <v>50</v>
      </c>
      <c r="E203" s="30"/>
      <c r="F203" s="30">
        <v>100</v>
      </c>
      <c r="G203" s="81">
        <f>((20*E203)/(100/F203))/26</f>
        <v>0</v>
      </c>
    </row>
    <row r="204" spans="1:7">
      <c r="A204" s="214" t="s">
        <v>62</v>
      </c>
      <c r="B204" s="215"/>
      <c r="C204" s="216"/>
      <c r="D204" s="90" t="s">
        <v>41</v>
      </c>
      <c r="E204" s="30"/>
      <c r="F204" s="30">
        <v>100</v>
      </c>
      <c r="G204" s="81">
        <f>((40*E204)/(100/F204))/26</f>
        <v>0</v>
      </c>
    </row>
    <row r="205" spans="1:7">
      <c r="A205" s="214" t="s">
        <v>63</v>
      </c>
      <c r="B205" s="215"/>
      <c r="C205" s="216"/>
      <c r="D205" s="90" t="s">
        <v>50</v>
      </c>
      <c r="E205" s="30"/>
      <c r="F205" s="30">
        <v>100</v>
      </c>
      <c r="G205" s="81">
        <f>((20*E205)/(100/F205))/26</f>
        <v>0</v>
      </c>
    </row>
    <row r="206" spans="1:7">
      <c r="A206" s="214" t="s">
        <v>64</v>
      </c>
      <c r="B206" s="215"/>
      <c r="C206" s="216"/>
      <c r="D206" s="90" t="s">
        <v>41</v>
      </c>
      <c r="E206" s="30"/>
      <c r="F206" s="30">
        <v>100</v>
      </c>
      <c r="G206" s="81">
        <f>((40*E206)/(100/F206))/26</f>
        <v>0</v>
      </c>
    </row>
    <row r="207" spans="1:7" ht="18.75">
      <c r="A207" s="226"/>
      <c r="B207" s="226"/>
      <c r="E207" s="88" t="s">
        <v>57</v>
      </c>
      <c r="F207" s="85"/>
      <c r="G207" s="77">
        <f>SUM(G201:G206)</f>
        <v>0</v>
      </c>
    </row>
    <row r="208" spans="1:7" ht="18.75">
      <c r="A208" s="13" t="s">
        <v>348</v>
      </c>
      <c r="G208" s="5"/>
    </row>
    <row r="209" spans="1:7">
      <c r="A209" s="205" t="s">
        <v>113</v>
      </c>
      <c r="B209" s="213"/>
      <c r="C209" s="213"/>
      <c r="D209" s="227" t="s">
        <v>5</v>
      </c>
      <c r="E209" s="260"/>
      <c r="F209" s="24" t="s">
        <v>10</v>
      </c>
      <c r="G209" s="24" t="s">
        <v>6</v>
      </c>
    </row>
    <row r="210" spans="1:7">
      <c r="A210" s="213"/>
      <c r="B210" s="213"/>
      <c r="C210" s="213"/>
      <c r="D210" s="261"/>
      <c r="E210" s="262"/>
      <c r="F210" s="27" t="s">
        <v>356</v>
      </c>
      <c r="G210" s="27" t="s">
        <v>7</v>
      </c>
    </row>
    <row r="211" spans="1:7">
      <c r="A211" s="214" t="s">
        <v>349</v>
      </c>
      <c r="B211" s="215"/>
      <c r="C211" s="216"/>
      <c r="D211" s="246" t="s">
        <v>352</v>
      </c>
      <c r="E211" s="246"/>
      <c r="F211" s="30"/>
      <c r="G211" s="81">
        <f>(100*F211)/26</f>
        <v>0</v>
      </c>
    </row>
    <row r="212" spans="1:7">
      <c r="A212" s="214" t="s">
        <v>350</v>
      </c>
      <c r="B212" s="215"/>
      <c r="C212" s="216"/>
      <c r="D212" s="246" t="s">
        <v>353</v>
      </c>
      <c r="E212" s="246"/>
      <c r="F212" s="30"/>
      <c r="G212" s="81">
        <f>(150*F212)/26</f>
        <v>0</v>
      </c>
    </row>
    <row r="213" spans="1:7">
      <c r="A213" s="214" t="s">
        <v>351</v>
      </c>
      <c r="B213" s="215"/>
      <c r="C213" s="216"/>
      <c r="D213" s="246" t="s">
        <v>354</v>
      </c>
      <c r="E213" s="246"/>
      <c r="F213" s="30"/>
      <c r="G213" s="81">
        <f>(200*F213)/26</f>
        <v>0</v>
      </c>
    </row>
    <row r="214" spans="1:7">
      <c r="A214" s="214" t="s">
        <v>114</v>
      </c>
      <c r="B214" s="215"/>
      <c r="C214" s="216"/>
      <c r="D214" s="246" t="s">
        <v>355</v>
      </c>
      <c r="E214" s="246"/>
      <c r="F214" s="30"/>
      <c r="G214" s="81">
        <f>(300*F214)/26</f>
        <v>0</v>
      </c>
    </row>
    <row r="215" spans="1:7" ht="18.75">
      <c r="E215" s="88" t="s">
        <v>115</v>
      </c>
      <c r="F215" s="85"/>
      <c r="G215" s="77">
        <f>SUM(G211:G214)</f>
        <v>0</v>
      </c>
    </row>
    <row r="216" spans="1:7" s="80" customFormat="1" ht="18.75">
      <c r="E216" s="94"/>
      <c r="F216" s="45"/>
      <c r="G216" s="95"/>
    </row>
    <row r="217" spans="1:7" ht="18.75">
      <c r="A217" s="18" t="s">
        <v>219</v>
      </c>
      <c r="B217" s="82"/>
      <c r="C217" s="80"/>
    </row>
    <row r="218" spans="1:7" ht="18.75">
      <c r="A218" s="13" t="s">
        <v>223</v>
      </c>
    </row>
    <row r="219" spans="1:7">
      <c r="A219" s="205" t="s">
        <v>65</v>
      </c>
      <c r="B219" s="213"/>
      <c r="C219" s="213"/>
      <c r="D219" s="227" t="s">
        <v>5</v>
      </c>
      <c r="E219" s="260"/>
      <c r="F219" s="24" t="s">
        <v>10</v>
      </c>
      <c r="G219" s="24" t="s">
        <v>6</v>
      </c>
    </row>
    <row r="220" spans="1:7">
      <c r="A220" s="213"/>
      <c r="B220" s="213"/>
      <c r="C220" s="213"/>
      <c r="D220" s="261"/>
      <c r="E220" s="262"/>
      <c r="F220" s="27" t="s">
        <v>19</v>
      </c>
      <c r="G220" s="27" t="s">
        <v>7</v>
      </c>
    </row>
    <row r="221" spans="1:7" ht="33.75" customHeight="1">
      <c r="A221" s="281" t="s">
        <v>293</v>
      </c>
      <c r="B221" s="282"/>
      <c r="C221" s="283"/>
      <c r="D221" s="284" t="s">
        <v>294</v>
      </c>
      <c r="E221" s="285"/>
      <c r="F221" s="30"/>
      <c r="G221" s="81">
        <f>(+F221)/26</f>
        <v>0</v>
      </c>
    </row>
    <row r="222" spans="1:7" ht="18.75">
      <c r="E222" s="88" t="s">
        <v>66</v>
      </c>
      <c r="F222" s="85"/>
      <c r="G222" s="77">
        <f>+G221</f>
        <v>0</v>
      </c>
    </row>
    <row r="223" spans="1:7" ht="18.75">
      <c r="A223" s="13" t="s">
        <v>234</v>
      </c>
    </row>
    <row r="224" spans="1:7">
      <c r="A224" s="205" t="s">
        <v>67</v>
      </c>
      <c r="B224" s="213"/>
      <c r="C224" s="213"/>
      <c r="D224" s="227" t="s">
        <v>5</v>
      </c>
      <c r="E224" s="260"/>
      <c r="F224" s="24" t="s">
        <v>10</v>
      </c>
      <c r="G224" s="24" t="s">
        <v>6</v>
      </c>
    </row>
    <row r="225" spans="1:7">
      <c r="A225" s="213"/>
      <c r="B225" s="213"/>
      <c r="C225" s="213"/>
      <c r="D225" s="261"/>
      <c r="E225" s="262"/>
      <c r="F225" s="27" t="s">
        <v>68</v>
      </c>
      <c r="G225" s="27" t="s">
        <v>7</v>
      </c>
    </row>
    <row r="226" spans="1:7" ht="33.75" customHeight="1">
      <c r="A226" s="281" t="s">
        <v>295</v>
      </c>
      <c r="B226" s="282"/>
      <c r="C226" s="283"/>
      <c r="D226" s="284" t="s">
        <v>186</v>
      </c>
      <c r="E226" s="285"/>
      <c r="F226" s="30"/>
      <c r="G226" s="81">
        <f>(3*F226)/17</f>
        <v>0</v>
      </c>
    </row>
    <row r="227" spans="1:7" ht="18.75">
      <c r="B227" s="91"/>
      <c r="C227" s="92"/>
      <c r="D227" s="93"/>
      <c r="E227" s="88" t="s">
        <v>70</v>
      </c>
      <c r="F227" s="85"/>
      <c r="G227" s="77">
        <f>+G226</f>
        <v>0</v>
      </c>
    </row>
    <row r="228" spans="1:7" s="80" customFormat="1" ht="17.25" customHeight="1">
      <c r="B228" s="199">
        <f>+C6</f>
        <v>0</v>
      </c>
      <c r="C228" s="92"/>
      <c r="D228" s="93"/>
      <c r="E228" s="94"/>
      <c r="F228" s="45"/>
      <c r="G228" s="95"/>
    </row>
    <row r="229" spans="1:7" s="80" customFormat="1" ht="18.75">
      <c r="B229" s="91"/>
      <c r="C229" s="92"/>
      <c r="D229" s="93"/>
      <c r="E229" s="94"/>
      <c r="F229" s="45"/>
      <c r="G229" s="95"/>
    </row>
    <row r="230" spans="1:7" s="80" customFormat="1" ht="18.75">
      <c r="B230" s="91"/>
      <c r="C230" s="92"/>
      <c r="D230" s="93"/>
      <c r="E230" s="94"/>
      <c r="F230" s="45"/>
      <c r="G230" s="95"/>
    </row>
    <row r="231" spans="1:7" s="80" customFormat="1" ht="18.75">
      <c r="B231" s="91"/>
      <c r="C231" s="92"/>
      <c r="D231" s="93"/>
      <c r="E231" s="94"/>
      <c r="F231" s="45"/>
      <c r="G231" s="95"/>
    </row>
    <row r="232" spans="1:7" s="80" customFormat="1" ht="18.75">
      <c r="B232" s="91"/>
      <c r="C232" s="92"/>
      <c r="D232" s="93"/>
      <c r="E232" s="94"/>
      <c r="F232" s="45"/>
      <c r="G232" s="95"/>
    </row>
    <row r="233" spans="1:7" s="80" customFormat="1" ht="18.75">
      <c r="B233" s="91"/>
      <c r="C233" s="92"/>
      <c r="D233" s="93"/>
      <c r="E233" s="94"/>
      <c r="F233" s="45"/>
      <c r="G233" s="5" t="s">
        <v>274</v>
      </c>
    </row>
    <row r="234" spans="1:7" ht="18.75">
      <c r="A234" s="13" t="s">
        <v>224</v>
      </c>
    </row>
    <row r="235" spans="1:7">
      <c r="A235" s="205" t="s">
        <v>187</v>
      </c>
      <c r="B235" s="213"/>
      <c r="C235" s="213"/>
      <c r="D235" s="227" t="s">
        <v>5</v>
      </c>
      <c r="E235" s="260"/>
      <c r="F235" s="24" t="s">
        <v>10</v>
      </c>
      <c r="G235" s="24" t="s">
        <v>6</v>
      </c>
    </row>
    <row r="236" spans="1:7">
      <c r="A236" s="213"/>
      <c r="B236" s="213"/>
      <c r="C236" s="213"/>
      <c r="D236" s="261"/>
      <c r="E236" s="262"/>
      <c r="F236" s="27" t="s">
        <v>297</v>
      </c>
      <c r="G236" s="27" t="s">
        <v>7</v>
      </c>
    </row>
    <row r="237" spans="1:7">
      <c r="A237" s="214" t="s">
        <v>176</v>
      </c>
      <c r="B237" s="215"/>
      <c r="C237" s="216"/>
      <c r="D237" s="246" t="s">
        <v>298</v>
      </c>
      <c r="E237" s="246"/>
      <c r="F237" s="30"/>
      <c r="G237" s="81">
        <f>(5*F237)/26</f>
        <v>0</v>
      </c>
    </row>
    <row r="238" spans="1:7">
      <c r="A238" s="214" t="s">
        <v>71</v>
      </c>
      <c r="B238" s="215"/>
      <c r="C238" s="216"/>
      <c r="D238" s="246" t="s">
        <v>77</v>
      </c>
      <c r="E238" s="246"/>
      <c r="F238" s="30"/>
      <c r="G238" s="81">
        <f>3*F238</f>
        <v>0</v>
      </c>
    </row>
    <row r="239" spans="1:7">
      <c r="A239" s="214" t="s">
        <v>73</v>
      </c>
      <c r="B239" s="215"/>
      <c r="C239" s="216"/>
      <c r="D239" s="246" t="s">
        <v>78</v>
      </c>
      <c r="E239" s="246"/>
      <c r="F239" s="30"/>
      <c r="G239" s="81">
        <f>1.5*F239</f>
        <v>0</v>
      </c>
    </row>
    <row r="240" spans="1:7">
      <c r="A240" s="214" t="s">
        <v>72</v>
      </c>
      <c r="B240" s="215"/>
      <c r="C240" s="216"/>
      <c r="D240" s="246" t="s">
        <v>79</v>
      </c>
      <c r="E240" s="246"/>
      <c r="F240" s="30"/>
      <c r="G240" s="81">
        <f>6*F240</f>
        <v>0</v>
      </c>
    </row>
    <row r="241" spans="1:7">
      <c r="A241" s="214" t="s">
        <v>74</v>
      </c>
      <c r="B241" s="215"/>
      <c r="C241" s="216"/>
      <c r="D241" s="246" t="s">
        <v>77</v>
      </c>
      <c r="E241" s="246"/>
      <c r="F241" s="30"/>
      <c r="G241" s="81">
        <f>3*F241</f>
        <v>0</v>
      </c>
    </row>
    <row r="242" spans="1:7">
      <c r="A242" s="214" t="s">
        <v>75</v>
      </c>
      <c r="B242" s="215"/>
      <c r="C242" s="216"/>
      <c r="D242" s="246" t="s">
        <v>80</v>
      </c>
      <c r="E242" s="246"/>
      <c r="F242" s="30"/>
      <c r="G242" s="81">
        <f>10*F242</f>
        <v>0</v>
      </c>
    </row>
    <row r="243" spans="1:7">
      <c r="A243" s="214" t="s">
        <v>76</v>
      </c>
      <c r="B243" s="215"/>
      <c r="C243" s="216"/>
      <c r="D243" s="246" t="s">
        <v>81</v>
      </c>
      <c r="E243" s="246"/>
      <c r="F243" s="30"/>
      <c r="G243" s="81">
        <f>5*F243</f>
        <v>0</v>
      </c>
    </row>
    <row r="244" spans="1:7" ht="18.75">
      <c r="E244" s="88" t="s">
        <v>69</v>
      </c>
      <c r="F244" s="85"/>
      <c r="G244" s="77">
        <f>SUM(G237:G243)</f>
        <v>0</v>
      </c>
    </row>
    <row r="245" spans="1:7" ht="18.75">
      <c r="A245" s="13" t="s">
        <v>299</v>
      </c>
      <c r="G245" s="5"/>
    </row>
    <row r="246" spans="1:7">
      <c r="A246" s="205" t="s">
        <v>83</v>
      </c>
      <c r="B246" s="213"/>
      <c r="C246" s="213"/>
      <c r="D246" s="63" t="s">
        <v>5</v>
      </c>
      <c r="E246" s="24" t="s">
        <v>10</v>
      </c>
      <c r="F246" s="24" t="s">
        <v>181</v>
      </c>
      <c r="G246" s="24" t="s">
        <v>6</v>
      </c>
    </row>
    <row r="247" spans="1:7">
      <c r="A247" s="213"/>
      <c r="B247" s="213"/>
      <c r="C247" s="213"/>
      <c r="D247" s="65"/>
      <c r="E247" s="263" t="s">
        <v>68</v>
      </c>
      <c r="F247" s="263" t="s">
        <v>182</v>
      </c>
      <c r="G247" s="263" t="s">
        <v>7</v>
      </c>
    </row>
    <row r="248" spans="1:7">
      <c r="A248" s="257" t="s">
        <v>300</v>
      </c>
      <c r="B248" s="258"/>
      <c r="C248" s="259"/>
      <c r="D248" s="53" t="s">
        <v>84</v>
      </c>
      <c r="E248" s="204"/>
      <c r="F248" s="204"/>
      <c r="G248" s="204"/>
    </row>
    <row r="249" spans="1:7">
      <c r="A249" s="184" t="s">
        <v>301</v>
      </c>
      <c r="B249" s="277"/>
      <c r="C249" s="278"/>
      <c r="D249" s="185" t="s">
        <v>185</v>
      </c>
      <c r="E249" s="96"/>
      <c r="F249" s="30">
        <v>100</v>
      </c>
      <c r="G249" s="81">
        <f>((40*E249)/(100/F249))/26</f>
        <v>0</v>
      </c>
    </row>
    <row r="250" spans="1:7">
      <c r="A250" s="184" t="s">
        <v>302</v>
      </c>
      <c r="B250" s="277"/>
      <c r="C250" s="278"/>
      <c r="D250" s="185" t="s">
        <v>304</v>
      </c>
      <c r="E250" s="187"/>
      <c r="F250" s="30">
        <v>100</v>
      </c>
      <c r="G250" s="81">
        <f>((40*E250)/(100/F250))/26</f>
        <v>0</v>
      </c>
    </row>
    <row r="251" spans="1:7">
      <c r="A251" s="184" t="s">
        <v>303</v>
      </c>
      <c r="B251" s="277"/>
      <c r="C251" s="278"/>
      <c r="D251" s="186" t="s">
        <v>305</v>
      </c>
      <c r="E251" s="187"/>
      <c r="F251" s="30">
        <v>100</v>
      </c>
      <c r="G251" s="81">
        <f>((40*E251)/(100/F251))/26</f>
        <v>0</v>
      </c>
    </row>
    <row r="252" spans="1:7">
      <c r="A252" s="279" t="s">
        <v>308</v>
      </c>
      <c r="B252" s="215"/>
      <c r="C252" s="216"/>
      <c r="D252" s="90" t="s">
        <v>85</v>
      </c>
      <c r="E252" s="96"/>
      <c r="F252" s="30">
        <v>100</v>
      </c>
      <c r="G252" s="81">
        <f>((80*E252)/(100/F252))/26</f>
        <v>0</v>
      </c>
    </row>
    <row r="253" spans="1:7">
      <c r="A253" s="214" t="s">
        <v>306</v>
      </c>
      <c r="B253" s="215"/>
      <c r="C253" s="216"/>
      <c r="D253" s="90" t="s">
        <v>86</v>
      </c>
      <c r="E253" s="187"/>
      <c r="F253" s="30">
        <v>100</v>
      </c>
      <c r="G253" s="81">
        <f>((60*E253)/(100/F253))/26</f>
        <v>0</v>
      </c>
    </row>
    <row r="254" spans="1:7">
      <c r="A254" s="214" t="s">
        <v>307</v>
      </c>
      <c r="B254" s="215"/>
      <c r="C254" s="216"/>
      <c r="D254" s="90" t="s">
        <v>87</v>
      </c>
      <c r="E254" s="187"/>
      <c r="F254" s="30">
        <v>100</v>
      </c>
      <c r="G254" s="81">
        <f>((120*E254)/(100/F254))/26</f>
        <v>0</v>
      </c>
    </row>
    <row r="255" spans="1:7">
      <c r="A255" s="214" t="s">
        <v>112</v>
      </c>
      <c r="B255" s="215"/>
      <c r="C255" s="216"/>
      <c r="D255" s="90" t="s">
        <v>88</v>
      </c>
      <c r="E255" s="187"/>
      <c r="F255" s="30">
        <v>100</v>
      </c>
      <c r="G255" s="81">
        <f>((30*E255)/(100/F255))/26</f>
        <v>0</v>
      </c>
    </row>
    <row r="256" spans="1:7" ht="18.75">
      <c r="A256" s="226"/>
      <c r="B256" s="226"/>
      <c r="E256" s="88" t="s">
        <v>82</v>
      </c>
      <c r="F256" s="85"/>
      <c r="G256" s="183">
        <f>SUM(G249:G255)</f>
        <v>0</v>
      </c>
    </row>
    <row r="257" spans="1:7" ht="18.75">
      <c r="A257" s="13" t="s">
        <v>309</v>
      </c>
      <c r="G257" s="5"/>
    </row>
    <row r="258" spans="1:7">
      <c r="A258" s="205" t="s">
        <v>233</v>
      </c>
      <c r="B258" s="213"/>
      <c r="C258" s="213"/>
      <c r="D258" s="227" t="s">
        <v>5</v>
      </c>
      <c r="E258" s="260"/>
      <c r="F258" s="24" t="s">
        <v>89</v>
      </c>
      <c r="G258" s="24" t="s">
        <v>6</v>
      </c>
    </row>
    <row r="259" spans="1:7">
      <c r="A259" s="213"/>
      <c r="B259" s="213"/>
      <c r="C259" s="213"/>
      <c r="D259" s="261"/>
      <c r="E259" s="262"/>
      <c r="F259" s="27" t="s">
        <v>90</v>
      </c>
      <c r="G259" s="27" t="s">
        <v>7</v>
      </c>
    </row>
    <row r="260" spans="1:7">
      <c r="A260" s="214" t="s">
        <v>92</v>
      </c>
      <c r="B260" s="215"/>
      <c r="C260" s="216"/>
      <c r="D260" s="246" t="s">
        <v>58</v>
      </c>
      <c r="E260" s="246"/>
      <c r="F260" s="30"/>
      <c r="G260" s="81">
        <f>(10*F260)/26</f>
        <v>0</v>
      </c>
    </row>
    <row r="261" spans="1:7">
      <c r="A261" s="214" t="s">
        <v>93</v>
      </c>
      <c r="B261" s="215"/>
      <c r="C261" s="216"/>
      <c r="D261" s="246" t="s">
        <v>103</v>
      </c>
      <c r="E261" s="246"/>
      <c r="F261" s="30"/>
      <c r="G261" s="81">
        <f>(+F261)/26</f>
        <v>0</v>
      </c>
    </row>
    <row r="262" spans="1:7">
      <c r="A262" s="214" t="s">
        <v>94</v>
      </c>
      <c r="B262" s="215"/>
      <c r="C262" s="216"/>
      <c r="D262" s="246" t="s">
        <v>104</v>
      </c>
      <c r="E262" s="246"/>
      <c r="F262" s="30"/>
      <c r="G262" s="81">
        <f>(3*F262)/26</f>
        <v>0</v>
      </c>
    </row>
    <row r="263" spans="1:7">
      <c r="A263" s="214" t="s">
        <v>95</v>
      </c>
      <c r="B263" s="215"/>
      <c r="C263" s="216"/>
      <c r="D263" s="246" t="s">
        <v>105</v>
      </c>
      <c r="E263" s="246"/>
      <c r="F263" s="30"/>
      <c r="G263" s="81">
        <f>(5*F263)/26</f>
        <v>0</v>
      </c>
    </row>
    <row r="264" spans="1:7">
      <c r="A264" s="214" t="s">
        <v>96</v>
      </c>
      <c r="B264" s="215"/>
      <c r="C264" s="216"/>
      <c r="D264" s="246" t="s">
        <v>106</v>
      </c>
      <c r="E264" s="246"/>
      <c r="F264" s="30"/>
      <c r="G264" s="81">
        <f>(10*F264)/26</f>
        <v>0</v>
      </c>
    </row>
    <row r="265" spans="1:7">
      <c r="A265" s="214" t="s">
        <v>97</v>
      </c>
      <c r="B265" s="215"/>
      <c r="C265" s="216"/>
      <c r="D265" s="246" t="s">
        <v>107</v>
      </c>
      <c r="E265" s="246"/>
      <c r="F265" s="30"/>
      <c r="G265" s="81">
        <f>(2*F265)/26</f>
        <v>0</v>
      </c>
    </row>
    <row r="266" spans="1:7">
      <c r="A266" s="214" t="s">
        <v>98</v>
      </c>
      <c r="B266" s="215"/>
      <c r="C266" s="216"/>
      <c r="D266" s="246" t="s">
        <v>108</v>
      </c>
      <c r="E266" s="246"/>
      <c r="F266" s="30"/>
      <c r="G266" s="81">
        <f>(5*F266)/26</f>
        <v>0</v>
      </c>
    </row>
    <row r="267" spans="1:7">
      <c r="A267" s="214" t="s">
        <v>99</v>
      </c>
      <c r="B267" s="215"/>
      <c r="C267" s="216"/>
      <c r="D267" s="246" t="s">
        <v>109</v>
      </c>
      <c r="E267" s="246"/>
      <c r="F267" s="30"/>
      <c r="G267" s="81">
        <f>(10*F267)/26</f>
        <v>0</v>
      </c>
    </row>
    <row r="268" spans="1:7">
      <c r="A268" s="214" t="s">
        <v>116</v>
      </c>
      <c r="B268" s="215"/>
      <c r="C268" s="216"/>
      <c r="D268" s="246" t="s">
        <v>110</v>
      </c>
      <c r="E268" s="246"/>
      <c r="F268" s="30"/>
      <c r="G268" s="81">
        <f>(15*F268)/26</f>
        <v>0</v>
      </c>
    </row>
    <row r="269" spans="1:7">
      <c r="A269" s="214" t="s">
        <v>100</v>
      </c>
      <c r="B269" s="215"/>
      <c r="C269" s="216"/>
      <c r="D269" s="246" t="s">
        <v>311</v>
      </c>
      <c r="E269" s="246"/>
      <c r="F269" s="30"/>
      <c r="G269" s="81">
        <f>(+F269)/26</f>
        <v>0</v>
      </c>
    </row>
    <row r="270" spans="1:7">
      <c r="A270" s="214" t="s">
        <v>101</v>
      </c>
      <c r="B270" s="215"/>
      <c r="C270" s="216"/>
      <c r="D270" s="246" t="s">
        <v>103</v>
      </c>
      <c r="E270" s="246"/>
      <c r="F270" s="30"/>
      <c r="G270" s="81">
        <f>(+F270)/26</f>
        <v>0</v>
      </c>
    </row>
    <row r="271" spans="1:7">
      <c r="A271" s="214" t="s">
        <v>102</v>
      </c>
      <c r="B271" s="215"/>
      <c r="C271" s="216"/>
      <c r="D271" s="246" t="s">
        <v>103</v>
      </c>
      <c r="E271" s="246"/>
      <c r="F271" s="30"/>
      <c r="G271" s="81">
        <f>(+F271)/26</f>
        <v>0</v>
      </c>
    </row>
    <row r="272" spans="1:7">
      <c r="A272" s="214" t="s">
        <v>194</v>
      </c>
      <c r="B272" s="215"/>
      <c r="C272" s="216"/>
      <c r="D272" s="246" t="s">
        <v>111</v>
      </c>
      <c r="E272" s="246"/>
      <c r="F272" s="30"/>
      <c r="G272" s="81">
        <f>(2*F272)/26</f>
        <v>0</v>
      </c>
    </row>
    <row r="273" spans="1:10">
      <c r="A273" s="214" t="s">
        <v>195</v>
      </c>
      <c r="B273" s="215"/>
      <c r="C273" s="216"/>
      <c r="D273" s="246" t="s">
        <v>103</v>
      </c>
      <c r="E273" s="246"/>
      <c r="F273" s="30"/>
      <c r="G273" s="81">
        <f>(+F273)/26</f>
        <v>0</v>
      </c>
    </row>
    <row r="274" spans="1:10">
      <c r="A274" s="214" t="s">
        <v>310</v>
      </c>
      <c r="B274" s="215"/>
      <c r="C274" s="216"/>
      <c r="D274" s="246" t="s">
        <v>311</v>
      </c>
      <c r="E274" s="246"/>
      <c r="F274" s="30"/>
      <c r="G274" s="81">
        <f>(+F274)/26</f>
        <v>0</v>
      </c>
    </row>
    <row r="275" spans="1:10" ht="18.75">
      <c r="E275" s="88" t="s">
        <v>91</v>
      </c>
      <c r="F275" s="85"/>
      <c r="G275" s="77">
        <f>SUM(G260:G274)</f>
        <v>0</v>
      </c>
    </row>
    <row r="276" spans="1:10" s="80" customFormat="1" ht="18.75">
      <c r="B276" s="200">
        <f>+C6</f>
        <v>0</v>
      </c>
      <c r="E276" s="94"/>
      <c r="F276" s="45"/>
      <c r="G276" s="95"/>
    </row>
    <row r="277" spans="1:10" s="80" customFormat="1" ht="18.75">
      <c r="E277" s="94"/>
      <c r="F277" s="45"/>
      <c r="G277" s="95"/>
    </row>
    <row r="278" spans="1:10" s="80" customFormat="1" ht="18.75">
      <c r="E278" s="94"/>
      <c r="F278" s="45"/>
      <c r="G278" s="95"/>
    </row>
    <row r="279" spans="1:10" s="80" customFormat="1" ht="18.75">
      <c r="E279" s="94"/>
      <c r="F279" s="45"/>
      <c r="G279" s="95"/>
    </row>
    <row r="280" spans="1:10" s="80" customFormat="1" ht="18.75">
      <c r="E280" s="94"/>
      <c r="F280" s="45"/>
      <c r="G280" s="5" t="s">
        <v>273</v>
      </c>
    </row>
    <row r="281" spans="1:10" ht="18.75">
      <c r="A281" s="18" t="s">
        <v>312</v>
      </c>
      <c r="B281" s="82"/>
      <c r="C281" s="82"/>
    </row>
    <row r="282" spans="1:10">
      <c r="A282" s="205" t="s">
        <v>117</v>
      </c>
      <c r="B282" s="213"/>
      <c r="C282" s="213"/>
      <c r="D282" s="63" t="s">
        <v>5</v>
      </c>
      <c r="E282" s="24" t="s">
        <v>183</v>
      </c>
      <c r="F282" s="24" t="s">
        <v>181</v>
      </c>
      <c r="G282" s="24" t="s">
        <v>6</v>
      </c>
    </row>
    <row r="283" spans="1:10">
      <c r="A283" s="213"/>
      <c r="B283" s="213"/>
      <c r="C283" s="213"/>
      <c r="D283" s="86"/>
      <c r="E283" s="263" t="s">
        <v>227</v>
      </c>
      <c r="F283" s="263" t="s">
        <v>182</v>
      </c>
      <c r="G283" s="263" t="s">
        <v>7</v>
      </c>
    </row>
    <row r="284" spans="1:10">
      <c r="A284" s="273" t="s">
        <v>314</v>
      </c>
      <c r="B284" s="274"/>
      <c r="C284" s="275"/>
      <c r="D284" s="98" t="s">
        <v>118</v>
      </c>
      <c r="E284" s="204"/>
      <c r="F284" s="204"/>
      <c r="G284" s="204"/>
    </row>
    <row r="285" spans="1:10">
      <c r="A285" s="99" t="s">
        <v>236</v>
      </c>
      <c r="B285" s="276"/>
      <c r="C285" s="276"/>
      <c r="D285" s="206"/>
      <c r="E285" s="30"/>
      <c r="F285" s="30">
        <v>100</v>
      </c>
      <c r="G285" s="81">
        <f>((15*E285)/(100/F285))/26</f>
        <v>0</v>
      </c>
      <c r="I285" s="100"/>
      <c r="J285" s="100"/>
    </row>
    <row r="286" spans="1:10">
      <c r="A286" s="101" t="s">
        <v>236</v>
      </c>
      <c r="B286" s="276"/>
      <c r="C286" s="276"/>
      <c r="D286" s="206"/>
      <c r="E286" s="30"/>
      <c r="F286" s="30">
        <v>100</v>
      </c>
      <c r="G286" s="81">
        <f>(((15*E286)/(100/F286))/26)/2</f>
        <v>0</v>
      </c>
      <c r="I286" s="102"/>
      <c r="J286" s="41"/>
    </row>
    <row r="287" spans="1:10">
      <c r="A287" s="103" t="s">
        <v>236</v>
      </c>
      <c r="B287" s="276"/>
      <c r="C287" s="276"/>
      <c r="D287" s="206"/>
      <c r="E287" s="30"/>
      <c r="F287" s="30">
        <v>100</v>
      </c>
      <c r="G287" s="81">
        <f>(((15*E287)/(100/F287))/26)/3</f>
        <v>0</v>
      </c>
      <c r="I287" s="104"/>
      <c r="J287" s="80"/>
    </row>
    <row r="288" spans="1:10">
      <c r="A288" s="105"/>
      <c r="B288" s="106"/>
      <c r="C288" s="106"/>
      <c r="D288" s="107"/>
      <c r="E288" s="108" t="s">
        <v>184</v>
      </c>
      <c r="F288" s="109"/>
      <c r="G288" s="32"/>
      <c r="I288" s="80"/>
      <c r="J288" s="80"/>
    </row>
    <row r="289" spans="1:10">
      <c r="A289" s="214" t="s">
        <v>313</v>
      </c>
      <c r="B289" s="215"/>
      <c r="C289" s="216"/>
      <c r="D289" s="90" t="s">
        <v>196</v>
      </c>
      <c r="E289" s="300"/>
      <c r="F289" s="301"/>
      <c r="G289" s="81">
        <f>(+E289)/26</f>
        <v>0</v>
      </c>
      <c r="I289" s="80"/>
      <c r="J289" s="80"/>
    </row>
    <row r="290" spans="1:10" ht="18.75">
      <c r="A290" s="110" t="s">
        <v>242</v>
      </c>
      <c r="B290" s="106"/>
      <c r="C290" s="106"/>
      <c r="D290" s="111"/>
      <c r="E290" s="88" t="s">
        <v>119</v>
      </c>
      <c r="F290" s="85"/>
      <c r="G290" s="77">
        <f>SUM(G285:G289)</f>
        <v>0</v>
      </c>
      <c r="I290" s="80"/>
      <c r="J290" s="80"/>
    </row>
    <row r="291" spans="1:10" s="80" customFormat="1" ht="18.75">
      <c r="A291" s="169"/>
      <c r="B291" s="170"/>
      <c r="C291" s="170"/>
      <c r="D291" s="171"/>
      <c r="E291" s="94"/>
      <c r="F291" s="45"/>
      <c r="G291" s="95"/>
    </row>
    <row r="292" spans="1:10" ht="18.75">
      <c r="A292" s="18" t="s">
        <v>220</v>
      </c>
      <c r="B292" s="82"/>
      <c r="C292" s="82"/>
      <c r="D292" s="82"/>
      <c r="E292" s="82"/>
      <c r="G292" s="5"/>
    </row>
    <row r="293" spans="1:10" ht="18.75">
      <c r="A293" s="13" t="s">
        <v>357</v>
      </c>
    </row>
    <row r="294" spans="1:10">
      <c r="A294" s="205" t="s">
        <v>120</v>
      </c>
      <c r="B294" s="213"/>
      <c r="C294" s="213"/>
      <c r="D294" s="227" t="s">
        <v>5</v>
      </c>
      <c r="E294" s="302"/>
      <c r="F294" s="260"/>
      <c r="G294" s="24" t="s">
        <v>6</v>
      </c>
    </row>
    <row r="295" spans="1:10">
      <c r="A295" s="213"/>
      <c r="B295" s="213"/>
      <c r="C295" s="213"/>
      <c r="D295" s="261"/>
      <c r="E295" s="303"/>
      <c r="F295" s="262"/>
      <c r="G295" s="27" t="s">
        <v>7</v>
      </c>
    </row>
    <row r="296" spans="1:10">
      <c r="A296" s="214" t="s">
        <v>180</v>
      </c>
      <c r="B296" s="215"/>
      <c r="C296" s="216"/>
      <c r="D296" s="253" t="s">
        <v>126</v>
      </c>
      <c r="E296" s="254"/>
      <c r="F296" s="272"/>
      <c r="G296" s="30"/>
    </row>
    <row r="297" spans="1:10">
      <c r="A297" s="214" t="s">
        <v>121</v>
      </c>
      <c r="B297" s="215"/>
      <c r="C297" s="216"/>
      <c r="D297" s="253" t="s">
        <v>125</v>
      </c>
      <c r="E297" s="254"/>
      <c r="F297" s="272"/>
      <c r="G297" s="30"/>
    </row>
    <row r="298" spans="1:10">
      <c r="A298" s="214" t="s">
        <v>358</v>
      </c>
      <c r="B298" s="215"/>
      <c r="C298" s="216"/>
      <c r="D298" s="253" t="s">
        <v>124</v>
      </c>
      <c r="E298" s="254"/>
      <c r="F298" s="272"/>
      <c r="G298" s="30"/>
    </row>
    <row r="299" spans="1:10">
      <c r="A299" s="214" t="s">
        <v>177</v>
      </c>
      <c r="B299" s="215"/>
      <c r="C299" s="216"/>
      <c r="D299" s="253" t="s">
        <v>124</v>
      </c>
      <c r="E299" s="254"/>
      <c r="F299" s="272"/>
      <c r="G299" s="30"/>
    </row>
    <row r="300" spans="1:10">
      <c r="A300" s="214" t="s">
        <v>178</v>
      </c>
      <c r="B300" s="215"/>
      <c r="C300" s="216"/>
      <c r="D300" s="253" t="s">
        <v>124</v>
      </c>
      <c r="E300" s="254"/>
      <c r="F300" s="272"/>
      <c r="G300" s="30"/>
    </row>
    <row r="301" spans="1:10">
      <c r="A301" s="214" t="s">
        <v>122</v>
      </c>
      <c r="B301" s="215"/>
      <c r="C301" s="216"/>
      <c r="D301" s="253" t="s">
        <v>124</v>
      </c>
      <c r="E301" s="254"/>
      <c r="F301" s="272"/>
      <c r="G301" s="30"/>
    </row>
    <row r="302" spans="1:10" ht="18.75">
      <c r="E302" s="88" t="s">
        <v>123</v>
      </c>
      <c r="F302" s="85"/>
      <c r="G302" s="183">
        <f>SUM(G296:G301)</f>
        <v>0</v>
      </c>
    </row>
    <row r="303" spans="1:10" ht="18.75">
      <c r="A303" s="13" t="s">
        <v>237</v>
      </c>
    </row>
    <row r="304" spans="1:10" ht="18.75">
      <c r="A304" s="13" t="s">
        <v>315</v>
      </c>
    </row>
    <row r="305" spans="1:7" ht="18.75">
      <c r="A305" s="13" t="s">
        <v>316</v>
      </c>
    </row>
    <row r="306" spans="1:7">
      <c r="A306" s="205" t="s">
        <v>134</v>
      </c>
      <c r="B306" s="213"/>
      <c r="C306" s="213"/>
      <c r="D306" s="227" t="s">
        <v>5</v>
      </c>
      <c r="E306" s="260"/>
      <c r="F306" s="24" t="s">
        <v>128</v>
      </c>
      <c r="G306" s="24" t="s">
        <v>6</v>
      </c>
    </row>
    <row r="307" spans="1:7">
      <c r="A307" s="213"/>
      <c r="B307" s="213"/>
      <c r="C307" s="213"/>
      <c r="D307" s="261"/>
      <c r="E307" s="262"/>
      <c r="F307" s="27" t="s">
        <v>129</v>
      </c>
      <c r="G307" s="27" t="s">
        <v>7</v>
      </c>
    </row>
    <row r="308" spans="1:7">
      <c r="A308" s="214" t="s">
        <v>130</v>
      </c>
      <c r="B308" s="215"/>
      <c r="C308" s="216"/>
      <c r="D308" s="253" t="s">
        <v>132</v>
      </c>
      <c r="E308" s="255"/>
      <c r="F308" s="30"/>
      <c r="G308" s="32">
        <f>5*F308</f>
        <v>0</v>
      </c>
    </row>
    <row r="309" spans="1:7">
      <c r="A309" s="214" t="s">
        <v>131</v>
      </c>
      <c r="B309" s="215"/>
      <c r="C309" s="216"/>
      <c r="D309" s="253" t="s">
        <v>133</v>
      </c>
      <c r="E309" s="255"/>
      <c r="F309" s="30"/>
      <c r="G309" s="32">
        <f>2.5*F309</f>
        <v>0</v>
      </c>
    </row>
    <row r="310" spans="1:7" ht="18.75">
      <c r="E310" s="88" t="s">
        <v>127</v>
      </c>
      <c r="F310" s="85"/>
      <c r="G310" s="183">
        <f>SUM(G308:G309)</f>
        <v>0</v>
      </c>
    </row>
    <row r="311" spans="1:7" ht="18.75">
      <c r="A311" s="13" t="s">
        <v>225</v>
      </c>
    </row>
    <row r="312" spans="1:7">
      <c r="A312" s="205" t="s">
        <v>135</v>
      </c>
      <c r="B312" s="213"/>
      <c r="C312" s="213"/>
      <c r="D312" s="227" t="s">
        <v>5</v>
      </c>
      <c r="E312" s="302"/>
      <c r="F312" s="260"/>
      <c r="G312" s="24" t="s">
        <v>6</v>
      </c>
    </row>
    <row r="313" spans="1:7">
      <c r="A313" s="213"/>
      <c r="B313" s="213"/>
      <c r="C313" s="213"/>
      <c r="D313" s="261"/>
      <c r="E313" s="303"/>
      <c r="F313" s="262"/>
      <c r="G313" s="27" t="s">
        <v>7</v>
      </c>
    </row>
    <row r="314" spans="1:7">
      <c r="A314" s="214" t="s">
        <v>136</v>
      </c>
      <c r="B314" s="215"/>
      <c r="C314" s="216"/>
      <c r="D314" s="253" t="s">
        <v>139</v>
      </c>
      <c r="E314" s="254"/>
      <c r="F314" s="272"/>
      <c r="G314" s="30"/>
    </row>
    <row r="315" spans="1:7">
      <c r="A315" s="214" t="s">
        <v>137</v>
      </c>
      <c r="B315" s="215"/>
      <c r="C315" s="216"/>
      <c r="D315" s="253" t="s">
        <v>132</v>
      </c>
      <c r="E315" s="254"/>
      <c r="F315" s="272"/>
      <c r="G315" s="30"/>
    </row>
    <row r="316" spans="1:7">
      <c r="A316" s="214" t="s">
        <v>138</v>
      </c>
      <c r="B316" s="215"/>
      <c r="C316" s="216"/>
      <c r="D316" s="253" t="s">
        <v>126</v>
      </c>
      <c r="E316" s="254"/>
      <c r="F316" s="272"/>
      <c r="G316" s="30"/>
    </row>
    <row r="317" spans="1:7" ht="18.75">
      <c r="E317" s="88" t="s">
        <v>140</v>
      </c>
      <c r="F317" s="85"/>
      <c r="G317" s="183">
        <f>SUM(G314:G316)</f>
        <v>0</v>
      </c>
    </row>
    <row r="318" spans="1:7" s="80" customFormat="1" ht="18.75">
      <c r="E318" s="94"/>
      <c r="F318" s="45"/>
      <c r="G318" s="166"/>
    </row>
    <row r="319" spans="1:7" s="80" customFormat="1" ht="18.75">
      <c r="B319" s="201">
        <f>+C6</f>
        <v>0</v>
      </c>
      <c r="E319" s="94"/>
      <c r="F319" s="45"/>
      <c r="G319" s="166"/>
    </row>
    <row r="320" spans="1:7" s="80" customFormat="1" ht="18.75">
      <c r="E320" s="94"/>
      <c r="F320" s="45"/>
      <c r="G320" s="166"/>
    </row>
    <row r="321" spans="1:7" s="80" customFormat="1" ht="18.75">
      <c r="E321" s="94"/>
      <c r="F321" s="45"/>
      <c r="G321" s="166"/>
    </row>
    <row r="322" spans="1:7" s="80" customFormat="1" ht="18.75">
      <c r="E322" s="94"/>
      <c r="F322" s="45"/>
      <c r="G322" s="166"/>
    </row>
    <row r="323" spans="1:7" s="80" customFormat="1" ht="18.75">
      <c r="E323" s="94"/>
      <c r="F323" s="45"/>
      <c r="G323" s="166"/>
    </row>
    <row r="324" spans="1:7" s="80" customFormat="1" ht="18.75">
      <c r="E324" s="94"/>
      <c r="F324" s="45"/>
      <c r="G324" s="166"/>
    </row>
    <row r="325" spans="1:7" s="80" customFormat="1" ht="18.75">
      <c r="E325" s="94"/>
      <c r="F325" s="45"/>
      <c r="G325" s="166"/>
    </row>
    <row r="326" spans="1:7" s="80" customFormat="1" ht="18.75">
      <c r="E326" s="94"/>
      <c r="F326" s="45"/>
      <c r="G326" s="5" t="s">
        <v>272</v>
      </c>
    </row>
    <row r="327" spans="1:7" ht="18.75">
      <c r="A327" s="13" t="s">
        <v>226</v>
      </c>
    </row>
    <row r="328" spans="1:7">
      <c r="A328" s="205" t="s">
        <v>359</v>
      </c>
      <c r="B328" s="213"/>
      <c r="C328" s="213"/>
      <c r="D328" s="227" t="s">
        <v>5</v>
      </c>
      <c r="E328" s="260"/>
      <c r="F328" s="24" t="s">
        <v>10</v>
      </c>
      <c r="G328" s="24" t="s">
        <v>6</v>
      </c>
    </row>
    <row r="329" spans="1:7">
      <c r="A329" s="213"/>
      <c r="B329" s="213"/>
      <c r="C329" s="213"/>
      <c r="D329" s="261"/>
      <c r="E329" s="262"/>
      <c r="F329" s="191" t="s">
        <v>263</v>
      </c>
      <c r="G329" s="27" t="s">
        <v>7</v>
      </c>
    </row>
    <row r="330" spans="1:7">
      <c r="A330" s="214" t="s">
        <v>317</v>
      </c>
      <c r="B330" s="215"/>
      <c r="C330" s="216"/>
      <c r="D330" s="253" t="s">
        <v>200</v>
      </c>
      <c r="E330" s="255"/>
      <c r="F330" s="30"/>
      <c r="G330" s="112">
        <f>6*F330</f>
        <v>0</v>
      </c>
    </row>
    <row r="331" spans="1:7">
      <c r="A331" s="193" t="s">
        <v>363</v>
      </c>
      <c r="B331" s="194"/>
      <c r="C331" s="195"/>
      <c r="D331" s="253" t="s">
        <v>365</v>
      </c>
      <c r="E331" s="255"/>
      <c r="F331" s="30"/>
      <c r="G331" s="112">
        <f>4*F331</f>
        <v>0</v>
      </c>
    </row>
    <row r="332" spans="1:7">
      <c r="A332" s="193" t="s">
        <v>364</v>
      </c>
      <c r="B332" s="194"/>
      <c r="C332" s="195"/>
      <c r="D332" s="253" t="s">
        <v>366</v>
      </c>
      <c r="E332" s="255"/>
      <c r="F332" s="30"/>
      <c r="G332" s="112">
        <f>2*F332</f>
        <v>0</v>
      </c>
    </row>
    <row r="333" spans="1:7">
      <c r="A333" s="304" t="s">
        <v>361</v>
      </c>
      <c r="B333" s="305"/>
      <c r="C333" s="306"/>
      <c r="D333" s="253" t="s">
        <v>367</v>
      </c>
      <c r="E333" s="255"/>
      <c r="F333" s="30"/>
      <c r="G333" s="112">
        <f>1*F333</f>
        <v>0</v>
      </c>
    </row>
    <row r="334" spans="1:7">
      <c r="A334" s="214" t="s">
        <v>360</v>
      </c>
      <c r="B334" s="215"/>
      <c r="C334" s="216"/>
      <c r="D334" s="253" t="s">
        <v>228</v>
      </c>
      <c r="E334" s="255"/>
      <c r="F334" s="30"/>
      <c r="G334" s="113">
        <f>1*F334</f>
        <v>0</v>
      </c>
    </row>
    <row r="335" spans="1:7">
      <c r="A335" s="214" t="s">
        <v>370</v>
      </c>
      <c r="B335" s="215"/>
      <c r="C335" s="216"/>
      <c r="D335" s="253" t="s">
        <v>232</v>
      </c>
      <c r="E335" s="255"/>
      <c r="F335" s="30"/>
      <c r="G335" s="81">
        <f>(3*F335)/26</f>
        <v>0</v>
      </c>
    </row>
    <row r="336" spans="1:7">
      <c r="A336" s="273" t="s">
        <v>371</v>
      </c>
      <c r="B336" s="274"/>
      <c r="C336" s="275"/>
      <c r="D336" s="253" t="s">
        <v>229</v>
      </c>
      <c r="E336" s="255"/>
      <c r="F336" s="30"/>
      <c r="G336" s="81">
        <f>(20*F336)/26</f>
        <v>0</v>
      </c>
    </row>
    <row r="337" spans="1:7" ht="21">
      <c r="A337" s="210" t="s">
        <v>319</v>
      </c>
      <c r="B337" s="211"/>
      <c r="C337" s="212"/>
      <c r="D337" s="217" t="s">
        <v>230</v>
      </c>
      <c r="E337" s="218"/>
      <c r="F337" s="221"/>
      <c r="G337" s="208">
        <f>(3*F337)/26</f>
        <v>0</v>
      </c>
    </row>
    <row r="338" spans="1:7">
      <c r="A338" s="114" t="s">
        <v>318</v>
      </c>
      <c r="B338" s="115"/>
      <c r="C338" s="116"/>
      <c r="D338" s="219"/>
      <c r="E338" s="220"/>
      <c r="F338" s="222"/>
      <c r="G338" s="209"/>
    </row>
    <row r="339" spans="1:7">
      <c r="A339" s="295" t="s">
        <v>369</v>
      </c>
      <c r="B339" s="296"/>
      <c r="C339" s="297"/>
      <c r="D339" s="298" t="s">
        <v>231</v>
      </c>
      <c r="E339" s="218"/>
      <c r="F339" s="221"/>
      <c r="G339" s="208">
        <f>(5*F339)/26</f>
        <v>0</v>
      </c>
    </row>
    <row r="340" spans="1:7">
      <c r="A340" s="97" t="s">
        <v>362</v>
      </c>
      <c r="B340" s="117"/>
      <c r="C340" s="118"/>
      <c r="D340" s="299"/>
      <c r="E340" s="220"/>
      <c r="F340" s="222"/>
      <c r="G340" s="209"/>
    </row>
    <row r="342" spans="1:7" ht="18.75">
      <c r="E342" s="88" t="s">
        <v>141</v>
      </c>
      <c r="F342" s="85"/>
      <c r="G342" s="77">
        <f>SUM(G330:G340)</f>
        <v>0</v>
      </c>
    </row>
    <row r="344" spans="1:7">
      <c r="B344" s="167"/>
    </row>
    <row r="345" spans="1:7" s="9" customFormat="1" ht="21">
      <c r="B345" s="294">
        <f>+C6</f>
        <v>0</v>
      </c>
      <c r="C345" s="294"/>
    </row>
  </sheetData>
  <sheetProtection selectLockedCells="1"/>
  <mergeCells count="272">
    <mergeCell ref="B345:C345"/>
    <mergeCell ref="G339:G340"/>
    <mergeCell ref="A339:C339"/>
    <mergeCell ref="D339:E340"/>
    <mergeCell ref="F339:F340"/>
    <mergeCell ref="F247:F248"/>
    <mergeCell ref="E289:F289"/>
    <mergeCell ref="D241:E241"/>
    <mergeCell ref="D312:F313"/>
    <mergeCell ref="A314:C314"/>
    <mergeCell ref="D314:F314"/>
    <mergeCell ref="D294:F295"/>
    <mergeCell ref="D242:E242"/>
    <mergeCell ref="D308:E308"/>
    <mergeCell ref="A309:C309"/>
    <mergeCell ref="A300:C300"/>
    <mergeCell ref="A301:C301"/>
    <mergeCell ref="D300:F300"/>
    <mergeCell ref="D301:F301"/>
    <mergeCell ref="A336:C336"/>
    <mergeCell ref="D336:E336"/>
    <mergeCell ref="A333:C333"/>
    <mergeCell ref="D333:E333"/>
    <mergeCell ref="A334:C334"/>
    <mergeCell ref="A20:A24"/>
    <mergeCell ref="B20:B24"/>
    <mergeCell ref="A26:A30"/>
    <mergeCell ref="B26:B30"/>
    <mergeCell ref="E161:E162"/>
    <mergeCell ref="F161:F162"/>
    <mergeCell ref="A32:A36"/>
    <mergeCell ref="B32:B36"/>
    <mergeCell ref="A50:A52"/>
    <mergeCell ref="A54:A56"/>
    <mergeCell ref="A38:A42"/>
    <mergeCell ref="A160:C161"/>
    <mergeCell ref="A162:C162"/>
    <mergeCell ref="B38:B42"/>
    <mergeCell ref="C54:C55"/>
    <mergeCell ref="C58:C59"/>
    <mergeCell ref="C62:C63"/>
    <mergeCell ref="C124:C125"/>
    <mergeCell ref="C118:D119"/>
    <mergeCell ref="A58:A60"/>
    <mergeCell ref="A62:A64"/>
    <mergeCell ref="B58:B60"/>
    <mergeCell ref="B71:B74"/>
    <mergeCell ref="D111:D112"/>
    <mergeCell ref="A235:C236"/>
    <mergeCell ref="D260:E260"/>
    <mergeCell ref="D219:E220"/>
    <mergeCell ref="A306:C307"/>
    <mergeCell ref="D178:D179"/>
    <mergeCell ref="D224:E225"/>
    <mergeCell ref="E172:E173"/>
    <mergeCell ref="F172:F173"/>
    <mergeCell ref="D235:E236"/>
    <mergeCell ref="A219:C220"/>
    <mergeCell ref="A221:C221"/>
    <mergeCell ref="D221:E221"/>
    <mergeCell ref="A224:C225"/>
    <mergeCell ref="D243:E243"/>
    <mergeCell ref="E247:E248"/>
    <mergeCell ref="D258:E259"/>
    <mergeCell ref="A226:C226"/>
    <mergeCell ref="D226:E226"/>
    <mergeCell ref="D240:E240"/>
    <mergeCell ref="A239:C239"/>
    <mergeCell ref="D239:E239"/>
    <mergeCell ref="A243:C243"/>
    <mergeCell ref="A253:C253"/>
    <mergeCell ref="B249:C249"/>
    <mergeCell ref="A335:C335"/>
    <mergeCell ref="D335:E335"/>
    <mergeCell ref="D309:E309"/>
    <mergeCell ref="A328:C329"/>
    <mergeCell ref="A289:C289"/>
    <mergeCell ref="D315:F315"/>
    <mergeCell ref="A316:C316"/>
    <mergeCell ref="D316:F316"/>
    <mergeCell ref="D299:F299"/>
    <mergeCell ref="A312:C313"/>
    <mergeCell ref="D296:F296"/>
    <mergeCell ref="D297:F297"/>
    <mergeCell ref="D328:E329"/>
    <mergeCell ref="A330:C330"/>
    <mergeCell ref="D330:E330"/>
    <mergeCell ref="D331:E331"/>
    <mergeCell ref="D332:E332"/>
    <mergeCell ref="D334:E334"/>
    <mergeCell ref="B250:C250"/>
    <mergeCell ref="B251:C251"/>
    <mergeCell ref="A254:C254"/>
    <mergeCell ref="A255:C255"/>
    <mergeCell ref="A252:C252"/>
    <mergeCell ref="A258:C259"/>
    <mergeCell ref="A271:C271"/>
    <mergeCell ref="A260:C260"/>
    <mergeCell ref="A270:C270"/>
    <mergeCell ref="A261:C261"/>
    <mergeCell ref="A262:C262"/>
    <mergeCell ref="A263:C263"/>
    <mergeCell ref="A266:C266"/>
    <mergeCell ref="A267:C267"/>
    <mergeCell ref="A256:B256"/>
    <mergeCell ref="F283:F284"/>
    <mergeCell ref="D298:F298"/>
    <mergeCell ref="A297:C297"/>
    <mergeCell ref="D306:E307"/>
    <mergeCell ref="A284:C284"/>
    <mergeCell ref="A199:C200"/>
    <mergeCell ref="D199:D200"/>
    <mergeCell ref="A204:C204"/>
    <mergeCell ref="A205:C205"/>
    <mergeCell ref="A206:C206"/>
    <mergeCell ref="A201:C201"/>
    <mergeCell ref="A202:C202"/>
    <mergeCell ref="A203:C203"/>
    <mergeCell ref="A212:C212"/>
    <mergeCell ref="B285:D285"/>
    <mergeCell ref="B286:D286"/>
    <mergeCell ref="B287:D287"/>
    <mergeCell ref="A237:C237"/>
    <mergeCell ref="A238:C238"/>
    <mergeCell ref="D238:E238"/>
    <mergeCell ref="E283:E284"/>
    <mergeCell ref="A274:C274"/>
    <mergeCell ref="A282:C283"/>
    <mergeCell ref="A268:C268"/>
    <mergeCell ref="A4:G4"/>
    <mergeCell ref="A1:G1"/>
    <mergeCell ref="A2:G2"/>
    <mergeCell ref="B14:B18"/>
    <mergeCell ref="A14:A18"/>
    <mergeCell ref="A12:A13"/>
    <mergeCell ref="B12:B13"/>
    <mergeCell ref="C12:C13"/>
    <mergeCell ref="D12:D13"/>
    <mergeCell ref="E7:G7"/>
    <mergeCell ref="C5:D5"/>
    <mergeCell ref="C6:D6"/>
    <mergeCell ref="E8:G8"/>
    <mergeCell ref="G247:G248"/>
    <mergeCell ref="G172:G173"/>
    <mergeCell ref="G161:G162"/>
    <mergeCell ref="D212:E212"/>
    <mergeCell ref="A213:C213"/>
    <mergeCell ref="D213:E213"/>
    <mergeCell ref="A241:C241"/>
    <mergeCell ref="G283:G284"/>
    <mergeCell ref="D237:E237"/>
    <mergeCell ref="D266:E266"/>
    <mergeCell ref="D267:E267"/>
    <mergeCell ref="D268:E268"/>
    <mergeCell ref="D160:D161"/>
    <mergeCell ref="B163:D163"/>
    <mergeCell ref="B167:D167"/>
    <mergeCell ref="A273:C273"/>
    <mergeCell ref="D273:E273"/>
    <mergeCell ref="A195:C195"/>
    <mergeCell ref="A196:C196"/>
    <mergeCell ref="D274:E274"/>
    <mergeCell ref="D270:E270"/>
    <mergeCell ref="D269:E269"/>
    <mergeCell ref="D272:E272"/>
    <mergeCell ref="A269:C269"/>
    <mergeCell ref="D271:E271"/>
    <mergeCell ref="A272:C272"/>
    <mergeCell ref="D191:D192"/>
    <mergeCell ref="A193:C193"/>
    <mergeCell ref="A194:C194"/>
    <mergeCell ref="A168:C168"/>
    <mergeCell ref="D171:D172"/>
    <mergeCell ref="A173:C173"/>
    <mergeCell ref="B174:D174"/>
    <mergeCell ref="D262:E262"/>
    <mergeCell ref="D261:E261"/>
    <mergeCell ref="A264:C264"/>
    <mergeCell ref="A265:C265"/>
    <mergeCell ref="D263:E263"/>
    <mergeCell ref="D264:E264"/>
    <mergeCell ref="D265:E265"/>
    <mergeCell ref="A240:C240"/>
    <mergeCell ref="A242:C242"/>
    <mergeCell ref="A246:C247"/>
    <mergeCell ref="A248:C248"/>
    <mergeCell ref="D214:E214"/>
    <mergeCell ref="A209:C210"/>
    <mergeCell ref="D209:E210"/>
    <mergeCell ref="A211:C211"/>
    <mergeCell ref="D211:E211"/>
    <mergeCell ref="A148:B148"/>
    <mergeCell ref="A149:B149"/>
    <mergeCell ref="A214:C214"/>
    <mergeCell ref="A191:C192"/>
    <mergeCell ref="A207:B207"/>
    <mergeCell ref="C145:C146"/>
    <mergeCell ref="D145:D146"/>
    <mergeCell ref="C120:D120"/>
    <mergeCell ref="A150:B150"/>
    <mergeCell ref="A151:B151"/>
    <mergeCell ref="A136:B136"/>
    <mergeCell ref="A135:B135"/>
    <mergeCell ref="B164:D164"/>
    <mergeCell ref="B165:D165"/>
    <mergeCell ref="A183:C183"/>
    <mergeCell ref="A182:C182"/>
    <mergeCell ref="A184:C184"/>
    <mergeCell ref="A157:B157"/>
    <mergeCell ref="A155:B155"/>
    <mergeCell ref="A156:B156"/>
    <mergeCell ref="A121:B121"/>
    <mergeCell ref="C121:D121"/>
    <mergeCell ref="A120:B120"/>
    <mergeCell ref="A153:B154"/>
    <mergeCell ref="A115:B115"/>
    <mergeCell ref="A132:B133"/>
    <mergeCell ref="A118:B119"/>
    <mergeCell ref="D124:D125"/>
    <mergeCell ref="A126:B126"/>
    <mergeCell ref="D132:D133"/>
    <mergeCell ref="A127:B127"/>
    <mergeCell ref="A128:B128"/>
    <mergeCell ref="A129:B129"/>
    <mergeCell ref="C50:C51"/>
    <mergeCell ref="A171:C172"/>
    <mergeCell ref="A180:C180"/>
    <mergeCell ref="A181:C181"/>
    <mergeCell ref="B62:B64"/>
    <mergeCell ref="B50:B52"/>
    <mergeCell ref="B54:B56"/>
    <mergeCell ref="A71:A74"/>
    <mergeCell ref="A178:C179"/>
    <mergeCell ref="A124:B125"/>
    <mergeCell ref="C69:C70"/>
    <mergeCell ref="A102:A103"/>
    <mergeCell ref="B102:B103"/>
    <mergeCell ref="C153:C154"/>
    <mergeCell ref="A105:A106"/>
    <mergeCell ref="B105:B106"/>
    <mergeCell ref="A134:B134"/>
    <mergeCell ref="C132:C133"/>
    <mergeCell ref="A111:C112"/>
    <mergeCell ref="A76:A79"/>
    <mergeCell ref="B76:B79"/>
    <mergeCell ref="A147:B147"/>
    <mergeCell ref="A113:B113"/>
    <mergeCell ref="A114:B114"/>
    <mergeCell ref="D69:D70"/>
    <mergeCell ref="A69:A70"/>
    <mergeCell ref="B69:B70"/>
    <mergeCell ref="D153:D154"/>
    <mergeCell ref="B166:D166"/>
    <mergeCell ref="G337:G338"/>
    <mergeCell ref="A337:C337"/>
    <mergeCell ref="A294:C295"/>
    <mergeCell ref="A296:C296"/>
    <mergeCell ref="A298:C298"/>
    <mergeCell ref="A308:C308"/>
    <mergeCell ref="A299:C299"/>
    <mergeCell ref="D337:E338"/>
    <mergeCell ref="F337:F338"/>
    <mergeCell ref="A315:C315"/>
    <mergeCell ref="A81:A84"/>
    <mergeCell ref="B81:B84"/>
    <mergeCell ref="A137:B137"/>
    <mergeCell ref="A145:B146"/>
    <mergeCell ref="A130:B130"/>
    <mergeCell ref="A86:A89"/>
    <mergeCell ref="B86:B89"/>
    <mergeCell ref="A99:A100"/>
    <mergeCell ref="B99:B100"/>
  </mergeCells>
  <phoneticPr fontId="2" type="noConversion"/>
  <dataValidations count="76">
    <dataValidation allowBlank="1" showInputMessage="1" showErrorMessage="1" prompt="ใส่ข้อมูลไม่เกิน 30 ชั่วโมง" sqref="E113"/>
    <dataValidation allowBlank="1" showInputMessage="1" showErrorMessage="1" prompt="ไม่เกิน 15 คน" sqref="F114"/>
    <dataValidation allowBlank="1" showInputMessage="1" showErrorMessage="1" prompt="ไม่เกิน 15 ชั่วโมง" sqref="E115"/>
    <dataValidation allowBlank="1" showInputMessage="1" showErrorMessage="1" prompt="ใส่จำนวนครั้งที่ปฏิบัติงาน ทั้งนี้ไม่เกิน 4 ครั้ง = 12 ชั่วโมง" sqref="F226"/>
    <dataValidation allowBlank="1" showInputMessage="1" showErrorMessage="1" prompt="ไม่เกิน 2" sqref="G316"/>
    <dataValidation allowBlank="1" showInputMessage="1" showErrorMessage="1" prompt="ไม่เกิน 1.5" sqref="G297"/>
    <dataValidation allowBlank="1" showInputMessage="1" showErrorMessage="1" prompt="ไม่เกิน 1" sqref="G298:G301"/>
    <dataValidation allowBlank="1" showInputMessage="1" showErrorMessage="1" prompt="ไม่เกิน 10" sqref="G314"/>
    <dataValidation allowBlank="1" showInputMessage="1" showErrorMessage="1" prompt="ไม่เกิน 5" sqref="G315"/>
    <dataValidation allowBlank="1" showInputMessage="1" showErrorMessage="1" prompt="เฉพาะหน่วยกิตบรรยายเท่านั้น" sqref="F14 F20 F26 F32 F38"/>
    <dataValidation allowBlank="1" showInputMessage="1" showErrorMessage="1" prompt="จำนวนนักศึกษาทั้งหมด ที่ลงเรียนรายวิชานี้" sqref="E14 E20 E26 E32 E38"/>
    <dataValidation allowBlank="1" showInputMessage="1" showErrorMessage="1" prompt="จำนวนชั่วโมงที่สอนต่อสัปดาห์ (ตามตารางสอน)" sqref="F50 F54 F58 F62"/>
    <dataValidation allowBlank="1" showInputMessage="1" showErrorMessage="1" prompt="100 หารจำนวนผู้ร่วมสอนในรายวิชานั้นๆ&#10;" sqref="D18"/>
    <dataValidation allowBlank="1" showInputMessage="1" showErrorMessage="1" prompt="ใส่รหัสวิชาให้ถูกต้องตามตารางสอนรายบุคคล" sqref="A14:A18 A20:A24 A26:A30 A32:A36 A38:A42"/>
    <dataValidation allowBlank="1" showInputMessage="1" showErrorMessage="1" prompt="ใส่ชื่อวิชาให้ถูกต้อง ตามตารางสอนรายบุคคล" sqref="B14:B18 B20:B24 B26:B30 B32:B36 B38:B42 B71:B74 B76:B79 B81:B84 B86:B89"/>
    <dataValidation allowBlank="1" showInputMessage="1" showErrorMessage="1" prompt="ใส่รหัสวิชาให้ถูกต้อง ตามตารางสอนรายบุคคล" sqref="A50:A52 A54:A56 A58:A60 A62:A64 A71:A74 A76:A79 A81:A84 A86:A89"/>
    <dataValidation allowBlank="1" showInputMessage="1" showErrorMessage="1" prompt="ใส่ชื่อวิชาให้ถูกต้องตามตารางสอนรายบุคคล" sqref="B50:B52 B54:B56 B58:B60 B62:B64"/>
    <dataValidation allowBlank="1" showInputMessage="1" showErrorMessage="1" prompt="ใส่ช่วงระยะเวลาในแต่ละช่วง ปีงบประมาณหนึ่งๆ จะมี 2 ช่วง คือ&#10;ช่วงที่ 1 ตั้งแต่วันที่ 1 ตุลาคม - 31 มีนาคม ของปีถัดไป&#10;ช่วงที่ 2 ตั้งแต่วันที่ 1 เมษายน - 30 กันยายน ของปีนั้นๆ" sqref="E8:G8"/>
    <dataValidation allowBlank="1" showInputMessage="1" showErrorMessage="1" prompt="จำนวนนักศึกษา ระดับปริญญาโททั้งหมด ที่ลงเรียนรายวิชานี้" sqref="E71 E76 E81 E86"/>
    <dataValidation allowBlank="1" showInputMessage="1" showErrorMessage="1" prompt="เฉพาะหน่วยกิตบรรยาย เท่านั้น" sqref="F71 F76 F81 F86"/>
    <dataValidation allowBlank="1" showInputMessage="1" showErrorMessage="1" prompt="ต้องใส่ จำนวนรวมคาบบรรยายที่สอนรายวิชานี้ทั้งสัปดาห์ (ตามตารางสอน)" sqref="D16 D22 D28 D34 D40"/>
    <dataValidation allowBlank="1" showInputMessage="1" showErrorMessage="1" prompt="จำนวนชั่วโมงที่สอนปฏิบัติ รายวิชานี้ต่อสัปดาห์" sqref="F99 F102 F105"/>
    <dataValidation allowBlank="1" showInputMessage="1" showErrorMessage="1" prompt="ใส่ชื่อของงานหรือกิจกรรม เช่น  ควบคุมการฝึกงานภายใน หรือควบคุมดูแลการฝึกงานภายนอก หรือควบคุมดูแลการจัดสหกิจศึกษาของสาขา" sqref="A113:B113"/>
    <dataValidation allowBlank="1" showInputMessage="1" showErrorMessage="1" prompt="ใส่ชื่อของงานหรือกิจกรรมที่ประเมินผล เช่น ประเมินผลการฝึกงานภายใน หรือประเมินผลการฝึกงานภายนอก หรือประเมินผลการออกสหกิจศึกษาของนักศึกษา&#10;" sqref="A114:B114"/>
    <dataValidation allowBlank="1" showInputMessage="1" showErrorMessage="1" prompt="ใส่ชื่องานหรือกิจกรรมที่เป็นผู้ประสานงาน เช่น ประสานงานการฝึกงานภายนอก หรือประสานงานเกี่ยวกับการจัดสหกิจศึกษาของนักศึกษา" sqref="A115:B115"/>
    <dataValidation allowBlank="1" showInputMessage="1" showErrorMessage="1" prompt="จำนวนเรื่องสัมมนาของนักศึกษาที่เป็นอาจารย์ที่ปรึกษา" sqref="E120"/>
    <dataValidation allowBlank="1" showInputMessage="1" showErrorMessage="1" prompt="จำนวนชั่วโมงที่สอนรายวิชาสัมมนาต่อสัปดาห์ (ตามตารางสอนรายบุคคล)" sqref="F121"/>
    <dataValidation allowBlank="1" showInputMessage="1" showErrorMessage="1" prompt="ต้องใส่จำนวนเรื่อง ที่เป็นที่ปรึกษาหลัก (Advicer) ทั้งหมด" sqref="D126 D147"/>
    <dataValidation allowBlank="1" showInputMessage="1" showErrorMessage="1" prompt="ต้องใส่จำนวนเรื่อง ที่เป็นที่ปรึกษาร่วม (Co-Advicer) ทั้งหมด" sqref="D127 D148"/>
    <dataValidation allowBlank="1" showInputMessage="1" showErrorMessage="1" prompt="จำนวนหน่วยกิตของรายวิชาสัมมนา" sqref="E126:E127"/>
    <dataValidation allowBlank="1" showInputMessage="1" showErrorMessage="1" prompt="จำนวนเรื่องสัมมนาของนักศึกษา ทั้งหมด ที่เป็นกรรมการสอบสัมมนา" sqref="D128"/>
    <dataValidation allowBlank="1" showInputMessage="1" showErrorMessage="1" prompt="จำนวนหน่วยกิต วิชาวิทยานิพนธ์ ที่เปิดรายวิชาในภาคการศึกษานั้นๆ" sqref="E147:E148"/>
    <dataValidation allowBlank="1" showInputMessage="1" showErrorMessage="1" prompt="จำนวนหน่วยกิต วิชาค้นคว้าอิสระ ที่เปิดรายวิชาในภาคการศึกษานั้นๆ" sqref="E134:E135"/>
    <dataValidation allowBlank="1" showInputMessage="1" showErrorMessage="1" prompt="จำนวนเรื่องของการค้นคว้าอิสระ ทั้งหมด ที่เป็นกรรมการสอบค้นคว้าอิสระ" sqref="D136"/>
    <dataValidation allowBlank="1" showInputMessage="1" showErrorMessage="1" prompt="ต้องใส่จำนวนเรื่อง ที่เป็นที่ปรึกษาหลัก ทั้งหมด" sqref="D134"/>
    <dataValidation allowBlank="1" showInputMessage="1" showErrorMessage="1" prompt="ต้องใส่จำนวนเรื่อง ที่เป็นที่ปรึกษาร่วม  ทั้งหมด" sqref="D135"/>
    <dataValidation allowBlank="1" showInputMessage="1" showErrorMessage="1" prompt="จำนวนนักศึกษาระดับปริญญาโท ที่เข้าสอบประมวลความรู้ ในภาคการศึกษานั้นๆ&#10;" sqref="D155"/>
    <dataValidation allowBlank="1" showInputMessage="1" showErrorMessage="1" prompt="จำนวนนักศึกษาระดับปริญญาโท ที่เข้าสอบวัดคุณสมบัติ ในภาคการศึกษานั้นๆ&#10;" sqref="D156"/>
    <dataValidation allowBlank="1" showInputMessage="1" showErrorMessage="1" prompt="จำนวนเรื่องของโครงร่างวิทยานิพนธ์ ที่จัดสอบในภาคการศึกษานั้นๆ" sqref="D149"/>
    <dataValidation allowBlank="1" showInputMessage="1" showErrorMessage="1" prompt="ต้องใส่เรื่องที่ 1" sqref="E163 E285"/>
    <dataValidation allowBlank="1" showInputMessage="1" showErrorMessage="1" prompt="ต้องใส่  2 (ถ้ามี)" sqref="E164 E286"/>
    <dataValidation allowBlank="1" showInputMessage="1" showErrorMessage="1" prompt="ต้องใส่ 3 (ถ้ามี)" sqref="E165 E287"/>
    <dataValidation allowBlank="1" showInputMessage="1" showErrorMessage="1" prompt="ต้องใส่ 4 (ถ้ามี)" sqref="E166"/>
    <dataValidation allowBlank="1" showInputMessage="1" showErrorMessage="1" prompt="ต้องใส่ 5 (ถ้ามี)" sqref="E167"/>
    <dataValidation allowBlank="1" showInputMessage="1" showErrorMessage="1" prompt="สัดส่วนการวิจัย ตามที่ปรากฏในแผนงานวิจัย" sqref="F163:F167"/>
    <dataValidation allowBlank="1" showInputMessage="1" showErrorMessage="1" prompt="จำนวนชุดโครงการทั้งหมด ที่เป็นผู้บริหารชุดโครงการ" sqref="E168"/>
    <dataValidation allowBlank="1" showInputMessage="1" showErrorMessage="1" prompt="ชื่อเรื่องเต็ม ของงานวิจัย และต้องอยู่ในระยะเวลาของข้อเสนอโครงการวิจัย  ไม่ขยายระยะเวลา" sqref="B163:D167"/>
    <dataValidation allowBlank="1" showInputMessage="1" showErrorMessage="1" prompt="ชื่อเต็มของหนังสือหรือตำรา" sqref="B174:D174"/>
    <dataValidation allowBlank="1" showInputMessage="1" showErrorMessage="1" prompt="1 รายการหรือเล่ม ใช้คิดภาระงานได้หนึ่งครั้ง" sqref="E174"/>
    <dataValidation allowBlank="1" showInputMessage="1" showErrorMessage="1" prompt="จำนวนชั่วโมงบรรยายรวม ที่ปฏิบัติหน้าที่เป็นวิทยากร" sqref="F221"/>
    <dataValidation allowBlank="1" showInputMessage="1" showErrorMessage="1" prompt="ใส่จำนวนเรื่องของบทความทางวิชาการต่างๆ" sqref="F237"/>
    <dataValidation allowBlank="1" showInputMessage="1" showErrorMessage="1" prompt="ใส่จำนวนของงาน.......กี่ฉบับ" sqref="F238:F243"/>
    <dataValidation allowBlank="1" showInputMessage="1" showErrorMessage="1" prompt="โครงการบริการทางวิชาการ ที่อยู่ในแผนการปฏิบัติงานประจำปีของคณะฯ" sqref="B249:C251"/>
    <dataValidation allowBlank="1" showInputMessage="1" showErrorMessage="1" prompt="% การมีส่วนร่วมในการจัดโครงการ หาจาก 100/จำนวนบุคคลในคำสั่งที่ร่วมจัดโครงการทั้งหมด (ต้องมีคำสั่ง)" sqref="F249:F255 F285:F287"/>
    <dataValidation allowBlank="1" showInputMessage="1" showErrorMessage="1" prompt="ใส่จำนวน 1 ครั้ง เท่านั้น&#10;" sqref="E249:E251"/>
    <dataValidation allowBlank="1" showInputMessage="1" showErrorMessage="1" prompt="ใส่ข้อมูล ตามจำนวนครั้งที่จัดโครงการ" sqref="E252:E255"/>
    <dataValidation allowBlank="1" showInputMessage="1" showErrorMessage="1" prompt="จำนวนเรื่องที่เป็นที่ปรึกษาผลงานทางวิชาการ" sqref="F260"/>
    <dataValidation allowBlank="1" showInputMessage="1" showErrorMessage="1" prompt="จำนวนชั่วโมงรวม ที่ปฏิบัติงานเป็นที่ปรึกษางานวิชาชีพ" sqref="F261"/>
    <dataValidation allowBlank="1" showInputMessage="1" showErrorMessage="1" prompt="จำนวนบทความที่พิจารณา" sqref="F262:F263"/>
    <dataValidation allowBlank="1" showInputMessage="1" showErrorMessage="1" prompt="จำนวนหนังสือ ตำรา รายงานการวิจัยฉบับสมบูรณ์ ที่พิจารณา" sqref="F264"/>
    <dataValidation allowBlank="1" showInputMessage="1" showErrorMessage="1" prompt="จำนวนโครงการ  ที่พิจารณา" sqref="F265"/>
    <dataValidation allowBlank="1" showInputMessage="1" showErrorMessage="1" prompt="จำนวนราย ที่ประเมิน" sqref="F266:F268"/>
    <dataValidation allowBlank="1" showInputMessage="1" showErrorMessage="1" prompt="เป็นที่ปรึกษา ใส่ข้อมูลได้ไม่เกิน 7 ชั่วโมง" sqref="F269"/>
    <dataValidation allowBlank="1" showInputMessage="1" showErrorMessage="1" prompt="ชั่วโมงรวม ที่ปฏิบัติงาน" sqref="F270:F273"/>
    <dataValidation allowBlank="1" showInputMessage="1" showErrorMessage="1" prompt="ใส่ข้อมูลได้ไม่เกิน 7 ชั่วโมง" sqref="F274"/>
    <dataValidation allowBlank="1" showInputMessage="1" showErrorMessage="1" prompt="ต้องเป็นโครงการที่อยู่ในแผนปฏิบัติงานประจำปีของคณะฯ" sqref="B285:D287"/>
    <dataValidation allowBlank="1" showInputMessage="1" showErrorMessage="1" prompt="ใส่ข้อมูลไม่เกิน 2" sqref="G296"/>
    <dataValidation allowBlank="1" showInputMessage="1" showErrorMessage="1" prompt="ใส่ข้อมูล การเป็นประธานกรรมการ ตามหัวข้อ 5.2   จำนวนกี่ชุดกรรมการ" sqref="F308"/>
    <dataValidation allowBlank="1" showInputMessage="1" showErrorMessage="1" prompt="ใส่ข้อมูล การเป็นกรรมการหรือเลขานุการ ตามหัวข้อ 5.2   จำนวนกี่ชุดกรรมการ" sqref="F309"/>
    <dataValidation allowBlank="1" showInputMessage="1" showErrorMessage="1" prompt="จำนวนหน่วยของงาน" sqref="F334 F330:F332"/>
    <dataValidation allowBlank="1" showInputMessage="1" showErrorMessage="1" prompt="จำนวนคำสั่ง การเป็นกรรมการด้านต่างๆ ของคณะฯ" sqref="F333"/>
    <dataValidation allowBlank="1" showInputMessage="1" showErrorMessage="1" prompt="จำนวนคำสั่ง กรรมการเปิดซองสอบราคาและกรรมการตรวจรับครุภัณฑ์" sqref="F335"/>
    <dataValidation allowBlank="1" showInputMessage="1" showErrorMessage="1" prompt="จำนวนคำสั่ง กรรมการตรวจรับงานก่อสร้าง กรรมการคุมงานก่อสร้าง (ใช้ได้ตั้งแต่ได้รับคำสั่ง จนกว่างานนั้นๆ จะแล้วเสร็จ)" sqref="F336"/>
    <dataValidation allowBlank="1" showInputMessage="1" showErrorMessage="1" prompt="จำนวนของคำสั่ง แต่งตั้งกรรมการของโครงการ" sqref="F337:F338"/>
    <dataValidation allowBlank="1" showInputMessage="1" showErrorMessage="1" prompt="จำนวนของคำสั่ง แต่งตั้งให้เป็นกรรมการ หรือให้ปฏิบัติหน้าที่อื่นๆ ที่มิใช่โครงการ ทั้งคำสั่งของคณะฯ คำสั่งของวิทยาเขต และคำสั่งของมหาวิทยาลัย" sqref="F339:F340"/>
    <dataValidation allowBlank="1" showInputMessage="1" showErrorMessage="1" prompt="จำนวนนักศึกษารายวิชานี้ ที่เกินจาก 15 คนต่อกลุ่ม มีจำนวนกี่คน&#10;(กรณีในหนึ่งสัปดาห์สอนรายวิชานี้หลายกลุ่ม ให้เอา (จำนวนนักศึกษาทั้งหมด) ลบด้วย (15 คูณด้วยจำนวนกลุ่ม) ได้จำนวนเท่าไหร่ จึงจะนำลงกรอกในช่องนี้)&#10;" sqref="E51 E55 E59 E63"/>
  </dataValidations>
  <pageMargins left="0.34" right="0.3" top="0.51" bottom="0.47" header="0.25" footer="0.2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22" workbookViewId="0">
      <selection activeCell="F9" sqref="F9"/>
    </sheetView>
  </sheetViews>
  <sheetFormatPr defaultRowHeight="18.75"/>
  <cols>
    <col min="1" max="1" width="9.5703125" style="129" customWidth="1"/>
    <col min="2" max="2" width="4" style="129" customWidth="1"/>
    <col min="3" max="5" width="9.140625" style="129"/>
    <col min="6" max="6" width="24.28515625" style="129" customWidth="1"/>
    <col min="7" max="7" width="12.28515625" style="129" customWidth="1"/>
    <col min="8" max="8" width="11.85546875" style="129" customWidth="1"/>
    <col min="9" max="9" width="9.140625" style="129"/>
    <col min="10" max="10" width="4.42578125" style="129" customWidth="1"/>
    <col min="11" max="16384" width="9.140625" style="129"/>
  </cols>
  <sheetData>
    <row r="1" spans="1:10" ht="23.2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>
      <c r="A8" s="131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2560</v>
      </c>
      <c r="F8" s="130"/>
      <c r="G8" s="336" t="str">
        <f>+แบบกรอกข้อมูล!E8</f>
        <v>ตั้งแต่ 1 เม.ย.60 - 30 ก.ย. 60</v>
      </c>
      <c r="H8" s="337"/>
      <c r="I8" s="338"/>
    </row>
    <row r="9" spans="1:10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  <c r="J14" s="10"/>
    </row>
    <row r="15" spans="1:10" ht="18" customHeight="1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>
      <c r="A16" s="332" t="s">
        <v>151</v>
      </c>
      <c r="B16" s="316" t="s">
        <v>265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5" customHeight="1">
      <c r="A17" s="333"/>
      <c r="B17" s="313" t="s">
        <v>152</v>
      </c>
      <c r="C17" s="314"/>
      <c r="D17" s="314"/>
      <c r="E17" s="314"/>
      <c r="F17" s="314"/>
      <c r="G17" s="315">
        <v>17</v>
      </c>
      <c r="H17" s="320">
        <f>+แบบกรอกข้อมูล!F5+แบบกรอกข้อมูล!G5+แบบกรอกข้อมูล!E6+แบบกรอกข้อมูล!F6</f>
        <v>0</v>
      </c>
      <c r="I17" s="310">
        <f>+I16</f>
        <v>-18</v>
      </c>
    </row>
    <row r="18" spans="1:9" ht="15" customHeight="1">
      <c r="A18" s="333"/>
      <c r="B18" s="314"/>
      <c r="C18" s="314"/>
      <c r="D18" s="314"/>
      <c r="E18" s="314"/>
      <c r="F18" s="314"/>
      <c r="G18" s="315"/>
      <c r="H18" s="321"/>
      <c r="I18" s="311"/>
    </row>
    <row r="19" spans="1:9" ht="15" customHeight="1">
      <c r="A19" s="333"/>
      <c r="B19" s="314"/>
      <c r="C19" s="314"/>
      <c r="D19" s="314"/>
      <c r="E19" s="314"/>
      <c r="F19" s="314"/>
      <c r="G19" s="315"/>
      <c r="H19" s="321"/>
      <c r="I19" s="311"/>
    </row>
    <row r="20" spans="1:9" ht="15" customHeight="1">
      <c r="A20" s="333"/>
      <c r="B20" s="314"/>
      <c r="C20" s="314"/>
      <c r="D20" s="314"/>
      <c r="E20" s="314"/>
      <c r="F20" s="314"/>
      <c r="G20" s="315"/>
      <c r="H20" s="322"/>
      <c r="I20" s="312"/>
    </row>
    <row r="21" spans="1:9" ht="18" customHeight="1">
      <c r="A21" s="333"/>
      <c r="B21" s="316" t="s">
        <v>155</v>
      </c>
      <c r="C21" s="316"/>
      <c r="D21" s="316"/>
      <c r="E21" s="316"/>
      <c r="F21" s="316"/>
      <c r="G21" s="143"/>
      <c r="H21" s="146"/>
      <c r="I21" s="147"/>
    </row>
    <row r="22" spans="1:9" ht="18" customHeight="1">
      <c r="A22" s="333"/>
      <c r="B22" s="319" t="s">
        <v>158</v>
      </c>
      <c r="C22" s="319"/>
      <c r="D22" s="319"/>
      <c r="E22" s="319"/>
      <c r="F22" s="319"/>
      <c r="G22" s="143">
        <v>1</v>
      </c>
      <c r="H22" s="148"/>
      <c r="I22" s="147"/>
    </row>
    <row r="23" spans="1:9" ht="18" customHeight="1">
      <c r="A23" s="333"/>
      <c r="B23" s="319" t="s">
        <v>157</v>
      </c>
      <c r="C23" s="319"/>
      <c r="D23" s="319"/>
      <c r="E23" s="319"/>
      <c r="F23" s="319"/>
      <c r="G23" s="143">
        <v>3</v>
      </c>
      <c r="H23" s="148"/>
      <c r="I23" s="147"/>
    </row>
    <row r="24" spans="1:9" ht="18" customHeight="1">
      <c r="F24" s="149" t="s">
        <v>203</v>
      </c>
      <c r="G24" s="143">
        <f>+G16+G17</f>
        <v>35</v>
      </c>
      <c r="H24" s="60">
        <f>+H16+H17</f>
        <v>0</v>
      </c>
      <c r="I24" s="6">
        <f>+I16</f>
        <v>-18</v>
      </c>
    </row>
    <row r="25" spans="1:9" ht="18" customHeight="1">
      <c r="F25" s="150"/>
      <c r="G25" s="151"/>
      <c r="H25" s="95"/>
      <c r="I25" s="151"/>
    </row>
    <row r="27" spans="1:9" ht="21">
      <c r="A27" s="152" t="s">
        <v>207</v>
      </c>
      <c r="C27" s="308" t="s">
        <v>206</v>
      </c>
      <c r="D27" s="308"/>
      <c r="E27" s="308"/>
      <c r="F27" s="129" t="s">
        <v>208</v>
      </c>
    </row>
    <row r="28" spans="1:9">
      <c r="C28" s="309" t="s">
        <v>179</v>
      </c>
      <c r="D28" s="309"/>
      <c r="E28" s="309"/>
    </row>
    <row r="30" spans="1:9" ht="21">
      <c r="A30" s="152" t="s">
        <v>207</v>
      </c>
      <c r="C30" s="308" t="s">
        <v>206</v>
      </c>
      <c r="D30" s="308"/>
      <c r="E30" s="308"/>
      <c r="F30" s="153" t="s">
        <v>209</v>
      </c>
    </row>
    <row r="31" spans="1:9">
      <c r="C31" s="307" t="s">
        <v>212</v>
      </c>
      <c r="D31" s="307"/>
      <c r="E31" s="307"/>
    </row>
    <row r="32" spans="1:9">
      <c r="C32" s="309" t="s">
        <v>179</v>
      </c>
      <c r="D32" s="309"/>
      <c r="E32" s="309"/>
    </row>
    <row r="34" spans="1:9" ht="21">
      <c r="A34" s="152" t="s">
        <v>207</v>
      </c>
      <c r="C34" s="308" t="s">
        <v>206</v>
      </c>
      <c r="D34" s="308"/>
      <c r="E34" s="308"/>
    </row>
    <row r="35" spans="1:9">
      <c r="C35" s="307" t="s">
        <v>211</v>
      </c>
      <c r="D35" s="307"/>
      <c r="E35" s="307"/>
    </row>
    <row r="36" spans="1:9" ht="21">
      <c r="C36" s="309" t="s">
        <v>179</v>
      </c>
      <c r="D36" s="309"/>
      <c r="E36" s="309"/>
      <c r="F36" s="152" t="s">
        <v>207</v>
      </c>
      <c r="G36" s="154" t="s">
        <v>206</v>
      </c>
      <c r="H36" s="154"/>
      <c r="I36" s="154"/>
    </row>
    <row r="37" spans="1:9">
      <c r="G37" s="307" t="s">
        <v>210</v>
      </c>
      <c r="H37" s="307"/>
      <c r="I37" s="153"/>
    </row>
    <row r="38" spans="1:9">
      <c r="G38" s="155" t="s">
        <v>264</v>
      </c>
      <c r="H38" s="155"/>
      <c r="I38" s="155"/>
    </row>
  </sheetData>
  <sheetProtection selectLockedCells="1"/>
  <mergeCells count="34"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G8:I8"/>
    <mergeCell ref="B8:C8"/>
    <mergeCell ref="B23:F23"/>
    <mergeCell ref="H17:H20"/>
    <mergeCell ref="B21:F21"/>
    <mergeCell ref="B22:F22"/>
    <mergeCell ref="A13:A15"/>
    <mergeCell ref="G15:H15"/>
    <mergeCell ref="B13:F15"/>
    <mergeCell ref="A16:A23"/>
    <mergeCell ref="I17:I20"/>
    <mergeCell ref="B17:F20"/>
    <mergeCell ref="G17:G20"/>
    <mergeCell ref="B16:F16"/>
    <mergeCell ref="B11:E11"/>
    <mergeCell ref="G11:H11"/>
    <mergeCell ref="G37:H37"/>
    <mergeCell ref="C34:E34"/>
    <mergeCell ref="C28:E28"/>
    <mergeCell ref="C35:E35"/>
    <mergeCell ref="C27:E27"/>
    <mergeCell ref="C32:E32"/>
    <mergeCell ref="C30:E30"/>
    <mergeCell ref="C36:E36"/>
    <mergeCell ref="C31:E31"/>
  </mergeCells>
  <phoneticPr fontId="2" type="noConversion"/>
  <pageMargins left="0.34" right="0.3" top="0.66" bottom="0.24" header="0.27" footer="0.2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A61" workbookViewId="0">
      <selection activeCell="A6" sqref="A6:I6"/>
    </sheetView>
  </sheetViews>
  <sheetFormatPr defaultRowHeight="18.75"/>
  <cols>
    <col min="1" max="1" width="9.5703125" style="129" customWidth="1"/>
    <col min="2" max="2" width="4" style="129" customWidth="1"/>
    <col min="3" max="5" width="9.140625" style="129"/>
    <col min="6" max="6" width="24.28515625" style="129" customWidth="1"/>
    <col min="7" max="7" width="12.28515625" style="129" customWidth="1"/>
    <col min="8" max="8" width="11.85546875" style="129" customWidth="1"/>
    <col min="9" max="9" width="9.140625" style="129"/>
    <col min="10" max="10" width="4.42578125" style="129" customWidth="1"/>
    <col min="11" max="16384" width="9.140625" style="129"/>
  </cols>
  <sheetData>
    <row r="1" spans="1:10" ht="23.2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>
      <c r="A8" s="131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2560</v>
      </c>
      <c r="F8" s="130"/>
      <c r="G8" s="336" t="str">
        <f>+แบบกรอกข้อมูล!E8</f>
        <v>ตั้งแต่ 1 เม.ย.60 - 30 ก.ย. 60</v>
      </c>
      <c r="H8" s="337"/>
      <c r="I8" s="338"/>
    </row>
    <row r="9" spans="1:10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</row>
    <row r="15" spans="1:10" ht="18" customHeight="1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>
      <c r="A16" s="344" t="s">
        <v>162</v>
      </c>
      <c r="B16" s="316" t="s">
        <v>265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>
      <c r="A17" s="345"/>
      <c r="B17" s="350" t="s">
        <v>159</v>
      </c>
      <c r="C17" s="351"/>
      <c r="D17" s="351"/>
      <c r="E17" s="351"/>
      <c r="F17" s="352"/>
      <c r="G17" s="353">
        <v>9</v>
      </c>
      <c r="H17" s="156">
        <f>+แบบกรอกข้อมูล!G169</f>
        <v>0</v>
      </c>
      <c r="I17" s="354">
        <f>SUM(H17:H21)</f>
        <v>0</v>
      </c>
    </row>
    <row r="18" spans="1:9" ht="18" customHeight="1">
      <c r="A18" s="345"/>
      <c r="B18" s="157"/>
      <c r="C18" s="342" t="s">
        <v>266</v>
      </c>
      <c r="D18" s="342"/>
      <c r="E18" s="342"/>
      <c r="F18" s="343"/>
      <c r="G18" s="353"/>
      <c r="H18" s="158">
        <f>+แบบกรอกข้อมูล!G185+แบบกรอกข้อมูล!G207</f>
        <v>0</v>
      </c>
      <c r="I18" s="355"/>
    </row>
    <row r="19" spans="1:9" ht="18" customHeight="1">
      <c r="A19" s="345"/>
      <c r="B19" s="157"/>
      <c r="C19" s="342" t="s">
        <v>267</v>
      </c>
      <c r="D19" s="342"/>
      <c r="E19" s="342"/>
      <c r="F19" s="343"/>
      <c r="G19" s="353"/>
      <c r="H19" s="158">
        <f>+แบบกรอกข้อมูล!G175</f>
        <v>0</v>
      </c>
      <c r="I19" s="355"/>
    </row>
    <row r="20" spans="1:9" ht="18" customHeight="1">
      <c r="A20" s="345"/>
      <c r="B20" s="157"/>
      <c r="C20" s="342" t="s">
        <v>268</v>
      </c>
      <c r="D20" s="342"/>
      <c r="E20" s="342"/>
      <c r="F20" s="343"/>
      <c r="G20" s="353"/>
      <c r="H20" s="158">
        <f>+แบบกรอกข้อมูล!G215</f>
        <v>0</v>
      </c>
      <c r="I20" s="355"/>
    </row>
    <row r="21" spans="1:9" ht="18" customHeight="1">
      <c r="A21" s="345"/>
      <c r="B21" s="159"/>
      <c r="C21" s="348" t="s">
        <v>160</v>
      </c>
      <c r="D21" s="348"/>
      <c r="E21" s="348"/>
      <c r="F21" s="349"/>
      <c r="G21" s="353"/>
      <c r="H21" s="158">
        <f>+แบบกรอกข้อมูล!G197</f>
        <v>0</v>
      </c>
      <c r="I21" s="355"/>
    </row>
    <row r="22" spans="1:9" ht="15" customHeight="1">
      <c r="A22" s="346"/>
      <c r="B22" s="340" t="s">
        <v>161</v>
      </c>
      <c r="C22" s="341"/>
      <c r="D22" s="341"/>
      <c r="E22" s="341"/>
      <c r="F22" s="341"/>
      <c r="G22" s="315">
        <v>8</v>
      </c>
      <c r="H22" s="320">
        <f>+แบบกรอกข้อมูล!G5+แบบกรอกข้อมูล!E6+แบบกรอกข้อมูล!F6</f>
        <v>0</v>
      </c>
      <c r="I22" s="310">
        <f>+I16+(I17-9)</f>
        <v>-27</v>
      </c>
    </row>
    <row r="23" spans="1:9" ht="15" customHeight="1">
      <c r="A23" s="346"/>
      <c r="B23" s="314"/>
      <c r="C23" s="314"/>
      <c r="D23" s="314"/>
      <c r="E23" s="314"/>
      <c r="F23" s="314"/>
      <c r="G23" s="315"/>
      <c r="H23" s="321"/>
      <c r="I23" s="311"/>
    </row>
    <row r="24" spans="1:9" ht="15" customHeight="1">
      <c r="A24" s="346"/>
      <c r="B24" s="314"/>
      <c r="C24" s="314"/>
      <c r="D24" s="314"/>
      <c r="E24" s="314"/>
      <c r="F24" s="314"/>
      <c r="G24" s="315"/>
      <c r="H24" s="321"/>
      <c r="I24" s="311"/>
    </row>
    <row r="25" spans="1:9" ht="15" customHeight="1">
      <c r="A25" s="346"/>
      <c r="B25" s="314"/>
      <c r="C25" s="314"/>
      <c r="D25" s="314"/>
      <c r="E25" s="314"/>
      <c r="F25" s="314"/>
      <c r="G25" s="315"/>
      <c r="H25" s="322"/>
      <c r="I25" s="312"/>
    </row>
    <row r="26" spans="1:9" ht="18" customHeight="1">
      <c r="A26" s="347"/>
      <c r="B26" s="316" t="s">
        <v>163</v>
      </c>
      <c r="C26" s="316"/>
      <c r="D26" s="316"/>
      <c r="E26" s="316"/>
      <c r="F26" s="316"/>
      <c r="G26" s="143"/>
      <c r="H26" s="146"/>
      <c r="I26" s="145">
        <f>+I22</f>
        <v>-27</v>
      </c>
    </row>
    <row r="27" spans="1:9" ht="18" customHeight="1">
      <c r="F27" s="149" t="s">
        <v>203</v>
      </c>
      <c r="G27" s="143">
        <f>+G16+G17+G22</f>
        <v>35</v>
      </c>
      <c r="H27" s="60">
        <f>SUM(H16:H25)</f>
        <v>0</v>
      </c>
      <c r="I27" s="6"/>
    </row>
    <row r="28" spans="1:9" ht="18" customHeight="1"/>
    <row r="29" spans="1:9" ht="21">
      <c r="A29" s="152" t="s">
        <v>207</v>
      </c>
      <c r="C29" s="308" t="s">
        <v>206</v>
      </c>
      <c r="D29" s="308"/>
      <c r="E29" s="308"/>
      <c r="F29" s="129" t="s">
        <v>208</v>
      </c>
    </row>
    <row r="30" spans="1:9">
      <c r="C30" s="309" t="s">
        <v>179</v>
      </c>
      <c r="D30" s="309"/>
      <c r="E30" s="309"/>
    </row>
    <row r="32" spans="1:9" ht="21">
      <c r="A32" s="152" t="s">
        <v>207</v>
      </c>
      <c r="C32" s="308" t="s">
        <v>206</v>
      </c>
      <c r="D32" s="308"/>
      <c r="E32" s="308"/>
      <c r="F32" s="153" t="s">
        <v>209</v>
      </c>
    </row>
    <row r="33" spans="1:9">
      <c r="C33" s="307" t="s">
        <v>212</v>
      </c>
      <c r="D33" s="307"/>
      <c r="E33" s="307"/>
    </row>
    <row r="34" spans="1:9">
      <c r="C34" s="309" t="s">
        <v>179</v>
      </c>
      <c r="D34" s="309"/>
      <c r="E34" s="309"/>
    </row>
    <row r="36" spans="1:9" ht="21">
      <c r="A36" s="152" t="s">
        <v>207</v>
      </c>
      <c r="C36" s="308" t="s">
        <v>206</v>
      </c>
      <c r="D36" s="308"/>
      <c r="E36" s="308"/>
    </row>
    <row r="37" spans="1:9">
      <c r="C37" s="307" t="s">
        <v>211</v>
      </c>
      <c r="D37" s="307"/>
      <c r="E37" s="307"/>
    </row>
    <row r="38" spans="1:9" ht="21">
      <c r="C38" s="309" t="s">
        <v>179</v>
      </c>
      <c r="D38" s="309"/>
      <c r="E38" s="309"/>
      <c r="F38" s="152" t="s">
        <v>207</v>
      </c>
      <c r="G38" s="154" t="s">
        <v>206</v>
      </c>
      <c r="H38" s="154"/>
      <c r="I38" s="154"/>
    </row>
    <row r="39" spans="1:9">
      <c r="G39" s="307" t="s">
        <v>210</v>
      </c>
      <c r="H39" s="307"/>
      <c r="I39" s="153"/>
    </row>
    <row r="40" spans="1:9">
      <c r="G40" s="155" t="s">
        <v>179</v>
      </c>
      <c r="H40" s="155"/>
      <c r="I40" s="155"/>
    </row>
  </sheetData>
  <sheetProtection selectLockedCells="1"/>
  <mergeCells count="39">
    <mergeCell ref="I22:I25"/>
    <mergeCell ref="G17:G21"/>
    <mergeCell ref="I17:I21"/>
    <mergeCell ref="G22:G25"/>
    <mergeCell ref="H22:H25"/>
    <mergeCell ref="A16:A26"/>
    <mergeCell ref="B16:F16"/>
    <mergeCell ref="B11:E11"/>
    <mergeCell ref="A13:A15"/>
    <mergeCell ref="B13:F15"/>
    <mergeCell ref="C21:F21"/>
    <mergeCell ref="B17:F17"/>
    <mergeCell ref="B26:F26"/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B8:C8"/>
    <mergeCell ref="G8:I8"/>
    <mergeCell ref="G11:H11"/>
    <mergeCell ref="G15:H15"/>
    <mergeCell ref="C33:E33"/>
    <mergeCell ref="G39:H39"/>
    <mergeCell ref="C34:E34"/>
    <mergeCell ref="C36:E36"/>
    <mergeCell ref="C37:E37"/>
    <mergeCell ref="C38:E38"/>
    <mergeCell ref="C29:E29"/>
    <mergeCell ref="C30:E30"/>
    <mergeCell ref="C32:E32"/>
    <mergeCell ref="B22:F25"/>
    <mergeCell ref="C18:F18"/>
    <mergeCell ref="C19:F19"/>
    <mergeCell ref="C20:F20"/>
  </mergeCells>
  <phoneticPr fontId="2" type="noConversion"/>
  <pageMargins left="0.34" right="0.3" top="0.64" bottom="0.24" header="0.27" footer="0.2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G14" sqref="G14"/>
    </sheetView>
  </sheetViews>
  <sheetFormatPr defaultRowHeight="18.75"/>
  <cols>
    <col min="1" max="1" width="9.5703125" style="129" customWidth="1"/>
    <col min="2" max="2" width="4" style="129" customWidth="1"/>
    <col min="3" max="5" width="9.140625" style="129"/>
    <col min="6" max="6" width="24.28515625" style="129" customWidth="1"/>
    <col min="7" max="7" width="12.28515625" style="129" customWidth="1"/>
    <col min="8" max="8" width="11.85546875" style="129" customWidth="1"/>
    <col min="9" max="9" width="9.140625" style="129"/>
    <col min="10" max="10" width="4.42578125" style="129" customWidth="1"/>
    <col min="11" max="16384" width="9.140625" style="129"/>
  </cols>
  <sheetData>
    <row r="1" spans="1:10" ht="23.2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>
      <c r="A8" s="202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2560</v>
      </c>
      <c r="F8" s="130"/>
      <c r="G8" s="336" t="str">
        <f>+แบบกรอกข้อมูล!E8</f>
        <v>ตั้งแต่ 1 เม.ย.60 - 30 ก.ย. 60</v>
      </c>
      <c r="H8" s="337"/>
      <c r="I8" s="338"/>
    </row>
    <row r="9" spans="1:10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</row>
    <row r="15" spans="1:10" ht="18" customHeight="1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>
      <c r="A16" s="344" t="s">
        <v>164</v>
      </c>
      <c r="B16" s="316" t="s">
        <v>204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>
      <c r="A17" s="345"/>
      <c r="B17" s="350" t="s">
        <v>159</v>
      </c>
      <c r="C17" s="351"/>
      <c r="D17" s="351"/>
      <c r="E17" s="351"/>
      <c r="F17" s="352"/>
      <c r="G17" s="353">
        <v>12</v>
      </c>
      <c r="H17" s="156">
        <f>+แบบกรอกข้อมูล!G169</f>
        <v>0</v>
      </c>
      <c r="I17" s="356">
        <f>SUM(H17:H20)</f>
        <v>0</v>
      </c>
    </row>
    <row r="18" spans="1:9" ht="18" customHeight="1">
      <c r="A18" s="345"/>
      <c r="B18" s="157"/>
      <c r="C18" s="342" t="s">
        <v>269</v>
      </c>
      <c r="D18" s="342"/>
      <c r="E18" s="342"/>
      <c r="F18" s="343"/>
      <c r="G18" s="353"/>
      <c r="H18" s="158">
        <f>+แบบกรอกข้อมูล!G185+แบบกรอกข้อมูล!G207</f>
        <v>0</v>
      </c>
      <c r="I18" s="319"/>
    </row>
    <row r="19" spans="1:9" ht="18" customHeight="1">
      <c r="A19" s="345"/>
      <c r="B19" s="157"/>
      <c r="C19" s="342" t="s">
        <v>270</v>
      </c>
      <c r="D19" s="342"/>
      <c r="E19" s="342"/>
      <c r="F19" s="343"/>
      <c r="G19" s="353"/>
      <c r="H19" s="158">
        <f>+แบบกรอกข้อมูล!G175</f>
        <v>0</v>
      </c>
      <c r="I19" s="319"/>
    </row>
    <row r="20" spans="1:9" ht="18" customHeight="1">
      <c r="A20" s="345"/>
      <c r="B20" s="159"/>
      <c r="C20" s="348" t="s">
        <v>165</v>
      </c>
      <c r="D20" s="348"/>
      <c r="E20" s="348"/>
      <c r="F20" s="349"/>
      <c r="G20" s="353"/>
      <c r="H20" s="158">
        <f>+แบบกรอกข้อมูล!G197+แบบกรอกข้อมูล!G215</f>
        <v>0</v>
      </c>
      <c r="I20" s="319"/>
    </row>
    <row r="21" spans="1:9" ht="15" customHeight="1">
      <c r="A21" s="346"/>
      <c r="B21" s="340" t="s">
        <v>161</v>
      </c>
      <c r="C21" s="341"/>
      <c r="D21" s="341"/>
      <c r="E21" s="341"/>
      <c r="F21" s="341"/>
      <c r="G21" s="315">
        <v>5</v>
      </c>
      <c r="H21" s="320">
        <f>+แบบกรอกข้อมูล!G5+แบบกรอกข้อมูล!E6+แบบกรอกข้อมูล!F6</f>
        <v>0</v>
      </c>
      <c r="I21" s="310">
        <f>+I16+(I17-12)</f>
        <v>-30</v>
      </c>
    </row>
    <row r="22" spans="1:9" ht="15" customHeight="1">
      <c r="A22" s="346"/>
      <c r="B22" s="314"/>
      <c r="C22" s="314"/>
      <c r="D22" s="314"/>
      <c r="E22" s="314"/>
      <c r="F22" s="314"/>
      <c r="G22" s="315"/>
      <c r="H22" s="321"/>
      <c r="I22" s="311"/>
    </row>
    <row r="23" spans="1:9" ht="15" customHeight="1">
      <c r="A23" s="346"/>
      <c r="B23" s="314"/>
      <c r="C23" s="314"/>
      <c r="D23" s="314"/>
      <c r="E23" s="314"/>
      <c r="F23" s="314"/>
      <c r="G23" s="315"/>
      <c r="H23" s="321"/>
      <c r="I23" s="311"/>
    </row>
    <row r="24" spans="1:9" ht="15" customHeight="1">
      <c r="A24" s="346"/>
      <c r="B24" s="314"/>
      <c r="C24" s="314"/>
      <c r="D24" s="314"/>
      <c r="E24" s="314"/>
      <c r="F24" s="314"/>
      <c r="G24" s="315"/>
      <c r="H24" s="322"/>
      <c r="I24" s="312"/>
    </row>
    <row r="25" spans="1:9" ht="18" customHeight="1">
      <c r="A25" s="347"/>
      <c r="B25" s="316" t="s">
        <v>163</v>
      </c>
      <c r="C25" s="316"/>
      <c r="D25" s="316"/>
      <c r="E25" s="316"/>
      <c r="F25" s="316"/>
      <c r="G25" s="143"/>
      <c r="H25" s="146"/>
      <c r="I25" s="145">
        <f>+I21</f>
        <v>-30</v>
      </c>
    </row>
    <row r="26" spans="1:9" ht="18" customHeight="1">
      <c r="F26" s="149" t="s">
        <v>203</v>
      </c>
      <c r="G26" s="143">
        <f>+G16+G17+G21</f>
        <v>35</v>
      </c>
      <c r="H26" s="60">
        <f>SUM(H16:H24)</f>
        <v>0</v>
      </c>
      <c r="I26" s="160"/>
    </row>
    <row r="28" spans="1:9" ht="21">
      <c r="A28" s="152" t="s">
        <v>207</v>
      </c>
      <c r="C28" s="308" t="s">
        <v>206</v>
      </c>
      <c r="D28" s="308"/>
      <c r="E28" s="308"/>
      <c r="F28" s="129" t="s">
        <v>208</v>
      </c>
    </row>
    <row r="29" spans="1:9">
      <c r="C29" s="309" t="s">
        <v>179</v>
      </c>
      <c r="D29" s="309"/>
      <c r="E29" s="309"/>
    </row>
    <row r="31" spans="1:9" ht="21">
      <c r="A31" s="152" t="s">
        <v>207</v>
      </c>
      <c r="C31" s="308" t="s">
        <v>206</v>
      </c>
      <c r="D31" s="308"/>
      <c r="E31" s="308"/>
      <c r="F31" s="153" t="s">
        <v>209</v>
      </c>
    </row>
    <row r="32" spans="1:9">
      <c r="C32" s="307" t="s">
        <v>212</v>
      </c>
      <c r="D32" s="307"/>
      <c r="E32" s="307"/>
    </row>
    <row r="33" spans="1:9">
      <c r="C33" s="309" t="s">
        <v>179</v>
      </c>
      <c r="D33" s="309"/>
      <c r="E33" s="309"/>
    </row>
    <row r="35" spans="1:9" ht="21">
      <c r="A35" s="152" t="s">
        <v>207</v>
      </c>
      <c r="C35" s="308" t="s">
        <v>206</v>
      </c>
      <c r="D35" s="308"/>
      <c r="E35" s="308"/>
    </row>
    <row r="36" spans="1:9">
      <c r="C36" s="307" t="s">
        <v>211</v>
      </c>
      <c r="D36" s="307"/>
      <c r="E36" s="307"/>
    </row>
    <row r="37" spans="1:9" ht="21">
      <c r="C37" s="309" t="s">
        <v>179</v>
      </c>
      <c r="D37" s="309"/>
      <c r="E37" s="309"/>
      <c r="F37" s="152" t="s">
        <v>207</v>
      </c>
      <c r="G37" s="154" t="s">
        <v>206</v>
      </c>
      <c r="H37" s="154"/>
      <c r="I37" s="154"/>
    </row>
    <row r="38" spans="1:9">
      <c r="G38" s="307" t="s">
        <v>210</v>
      </c>
      <c r="H38" s="307"/>
      <c r="I38" s="153"/>
    </row>
    <row r="39" spans="1:9">
      <c r="G39" s="155" t="s">
        <v>179</v>
      </c>
      <c r="H39" s="155"/>
      <c r="I39" s="155"/>
    </row>
  </sheetData>
  <sheetProtection selectLockedCells="1"/>
  <mergeCells count="38">
    <mergeCell ref="G8:I8"/>
    <mergeCell ref="B11:E11"/>
    <mergeCell ref="B8:C8"/>
    <mergeCell ref="A1:I1"/>
    <mergeCell ref="A2:I2"/>
    <mergeCell ref="A3:I3"/>
    <mergeCell ref="B10:E10"/>
    <mergeCell ref="G10:H10"/>
    <mergeCell ref="G11:H11"/>
    <mergeCell ref="A4:I4"/>
    <mergeCell ref="A5:I5"/>
    <mergeCell ref="A6:I6"/>
    <mergeCell ref="A7:I7"/>
    <mergeCell ref="G21:G24"/>
    <mergeCell ref="H21:H24"/>
    <mergeCell ref="I21:I24"/>
    <mergeCell ref="A16:A25"/>
    <mergeCell ref="B16:F16"/>
    <mergeCell ref="B25:F25"/>
    <mergeCell ref="G17:G20"/>
    <mergeCell ref="B21:F24"/>
    <mergeCell ref="A13:A15"/>
    <mergeCell ref="B13:F15"/>
    <mergeCell ref="G15:H15"/>
    <mergeCell ref="I17:I20"/>
    <mergeCell ref="C18:F18"/>
    <mergeCell ref="C19:F19"/>
    <mergeCell ref="C20:F20"/>
    <mergeCell ref="B17:F17"/>
    <mergeCell ref="C28:E28"/>
    <mergeCell ref="C29:E29"/>
    <mergeCell ref="C31:E31"/>
    <mergeCell ref="C32:E32"/>
    <mergeCell ref="G38:H38"/>
    <mergeCell ref="C33:E33"/>
    <mergeCell ref="C35:E35"/>
    <mergeCell ref="C36:E36"/>
    <mergeCell ref="C37:E37"/>
  </mergeCells>
  <phoneticPr fontId="2" type="noConversion"/>
  <pageMargins left="0.34" right="0.3" top="0.68" bottom="0.24" header="0.27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แบบกรอกข้อมูล</vt:lpstr>
      <vt:lpstr>สรุปภาระงาน อาจารย์</vt:lpstr>
      <vt:lpstr>สรุปภาระงาน ผศ</vt:lpstr>
      <vt:lpstr>สรุปภาระงาน รศ</vt:lpstr>
    </vt:vector>
  </TitlesOfParts>
  <Company>Your Organization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aRIT</cp:lastModifiedBy>
  <cp:lastPrinted>2017-03-15T03:28:27Z</cp:lastPrinted>
  <dcterms:created xsi:type="dcterms:W3CDTF">2010-04-19T03:36:04Z</dcterms:created>
  <dcterms:modified xsi:type="dcterms:W3CDTF">2017-09-08T02:59:19Z</dcterms:modified>
</cp:coreProperties>
</file>